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temp\ОРТ\Для ДЗО Результативность 12 мес 2023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Print_Titles" localSheetId="0">Лист1!$A:$B,Лист1!$4:$9</definedName>
    <definedName name="_xlnm.Print_Area" localSheetId="0">Лист1!$A$1:$W$41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H32" i="1" l="1"/>
  <c r="W29" i="1"/>
  <c r="V28" i="1"/>
  <c r="H28" i="1"/>
  <c r="E28" i="1"/>
  <c r="H27" i="1"/>
  <c r="E27" i="1"/>
  <c r="V22" i="1" l="1"/>
  <c r="H22" i="1"/>
  <c r="L38" i="1" l="1"/>
  <c r="E38" i="1"/>
  <c r="K38" i="1" s="1"/>
  <c r="P37" i="1"/>
  <c r="G37" i="1" s="1"/>
  <c r="V37" i="1" s="1"/>
  <c r="L37" i="1"/>
  <c r="X37" i="1" s="1"/>
  <c r="I37" i="1" s="1"/>
  <c r="E37" i="1"/>
  <c r="W37" i="1" s="1"/>
  <c r="P36" i="1"/>
  <c r="G36" i="1" s="1"/>
  <c r="V36" i="1" s="1"/>
  <c r="L36" i="1"/>
  <c r="E36" i="1"/>
  <c r="J36" i="1" s="1"/>
  <c r="L35" i="1"/>
  <c r="E35" i="1"/>
  <c r="K35" i="1" s="1"/>
  <c r="P34" i="1"/>
  <c r="G34" i="1" s="1"/>
  <c r="V34" i="1" s="1"/>
  <c r="L34" i="1"/>
  <c r="X34" i="1" s="1"/>
  <c r="I34" i="1" s="1"/>
  <c r="E34" i="1"/>
  <c r="W34" i="1" s="1"/>
  <c r="X33" i="1"/>
  <c r="W32" i="1"/>
  <c r="L32" i="1"/>
  <c r="V32" i="1"/>
  <c r="E32" i="1"/>
  <c r="K32" i="1" s="1"/>
  <c r="W31" i="1"/>
  <c r="L31" i="1"/>
  <c r="X31" i="1" s="1"/>
  <c r="I31" i="1" s="1"/>
  <c r="H31" i="1"/>
  <c r="V31" i="1" s="1"/>
  <c r="E31" i="1"/>
  <c r="K31" i="1" s="1"/>
  <c r="W30" i="1"/>
  <c r="L30" i="1"/>
  <c r="X30" i="1" s="1"/>
  <c r="I30" i="1" s="1"/>
  <c r="H30" i="1"/>
  <c r="V30" i="1" s="1"/>
  <c r="E30" i="1"/>
  <c r="K30" i="1" s="1"/>
  <c r="L29" i="1"/>
  <c r="X29" i="1" s="1"/>
  <c r="I29" i="1" s="1"/>
  <c r="H29" i="1"/>
  <c r="V29" i="1" s="1"/>
  <c r="E29" i="1"/>
  <c r="K29" i="1" s="1"/>
  <c r="W28" i="1"/>
  <c r="L28" i="1"/>
  <c r="K28" i="1"/>
  <c r="W27" i="1"/>
  <c r="W26" i="1" s="1"/>
  <c r="L27" i="1"/>
  <c r="K27" i="1"/>
  <c r="X26" i="1"/>
  <c r="P25" i="1"/>
  <c r="G25" i="1" s="1"/>
  <c r="V25" i="1" s="1"/>
  <c r="L25" i="1"/>
  <c r="J25" i="1"/>
  <c r="E25" i="1"/>
  <c r="W25" i="1" s="1"/>
  <c r="P24" i="1"/>
  <c r="L24" i="1"/>
  <c r="E24" i="1"/>
  <c r="J24" i="1" s="1"/>
  <c r="P23" i="1"/>
  <c r="G23" i="1" s="1"/>
  <c r="V23" i="1" s="1"/>
  <c r="L23" i="1"/>
  <c r="J23" i="1"/>
  <c r="E23" i="1"/>
  <c r="W23" i="1" s="1"/>
  <c r="W22" i="1"/>
  <c r="L22" i="1"/>
  <c r="K22" i="1"/>
  <c r="X22" i="1"/>
  <c r="I22" i="1" s="1"/>
  <c r="E22" i="1"/>
  <c r="W21" i="1"/>
  <c r="L21" i="1"/>
  <c r="K21" i="1"/>
  <c r="H21" i="1"/>
  <c r="V21" i="1" s="1"/>
  <c r="X21" i="1" s="1"/>
  <c r="I21" i="1" s="1"/>
  <c r="E21" i="1"/>
  <c r="W20" i="1"/>
  <c r="L20" i="1"/>
  <c r="K20" i="1"/>
  <c r="H20" i="1"/>
  <c r="V20" i="1" s="1"/>
  <c r="X20" i="1" s="1"/>
  <c r="I20" i="1" s="1"/>
  <c r="E20" i="1"/>
  <c r="P19" i="1"/>
  <c r="L19" i="1"/>
  <c r="E19" i="1"/>
  <c r="J19" i="1" s="1"/>
  <c r="P18" i="1"/>
  <c r="G18" i="1" s="1"/>
  <c r="V18" i="1" s="1"/>
  <c r="L18" i="1"/>
  <c r="J18" i="1"/>
  <c r="E18" i="1"/>
  <c r="W18" i="1" s="1"/>
  <c r="W17" i="1"/>
  <c r="L17" i="1"/>
  <c r="J17" i="1"/>
  <c r="E17" i="1"/>
  <c r="K17" i="1" s="1"/>
  <c r="P16" i="1"/>
  <c r="L16" i="1"/>
  <c r="J16" i="1"/>
  <c r="G16" i="1"/>
  <c r="V16" i="1" s="1"/>
  <c r="E16" i="1"/>
  <c r="W16" i="1" s="1"/>
  <c r="P15" i="1"/>
  <c r="L15" i="1"/>
  <c r="J15" i="1"/>
  <c r="E15" i="1"/>
  <c r="G15" i="1" s="1"/>
  <c r="V15" i="1" s="1"/>
  <c r="P14" i="1"/>
  <c r="L14" i="1"/>
  <c r="X14" i="1" s="1"/>
  <c r="J14" i="1"/>
  <c r="G14" i="1"/>
  <c r="V14" i="1" s="1"/>
  <c r="E14" i="1"/>
  <c r="W14" i="1" s="1"/>
  <c r="P13" i="1"/>
  <c r="L13" i="1"/>
  <c r="J13" i="1"/>
  <c r="E13" i="1"/>
  <c r="G13" i="1" s="1"/>
  <c r="V13" i="1" s="1"/>
  <c r="P12" i="1"/>
  <c r="L12" i="1"/>
  <c r="J12" i="1"/>
  <c r="G12" i="1"/>
  <c r="V12" i="1" s="1"/>
  <c r="E12" i="1"/>
  <c r="W12" i="1" s="1"/>
  <c r="X11" i="1"/>
  <c r="X32" i="1" l="1"/>
  <c r="I32" i="1" s="1"/>
  <c r="X28" i="1"/>
  <c r="I28" i="1" s="1"/>
  <c r="V27" i="1"/>
  <c r="X27" i="1" s="1"/>
  <c r="I27" i="1" s="1"/>
  <c r="X16" i="1"/>
  <c r="X18" i="1"/>
  <c r="I18" i="1" s="1"/>
  <c r="X24" i="1"/>
  <c r="I24" i="1" s="1"/>
  <c r="X25" i="1"/>
  <c r="I25" i="1" s="1"/>
  <c r="X12" i="1"/>
  <c r="I12" i="1" s="1"/>
  <c r="X23" i="1"/>
  <c r="I23" i="1" s="1"/>
  <c r="X35" i="1"/>
  <c r="I35" i="1" s="1"/>
  <c r="K19" i="1"/>
  <c r="K24" i="1"/>
  <c r="K36" i="1"/>
  <c r="K13" i="1"/>
  <c r="I14" i="1"/>
  <c r="W15" i="1"/>
  <c r="X15" i="1" s="1"/>
  <c r="I15" i="1" s="1"/>
  <c r="J34" i="1"/>
  <c r="H35" i="1"/>
  <c r="V35" i="1" s="1"/>
  <c r="V33" i="1" s="1"/>
  <c r="J37" i="1"/>
  <c r="H38" i="1"/>
  <c r="V38" i="1" s="1"/>
  <c r="X38" i="1" s="1"/>
  <c r="I38" i="1" s="1"/>
  <c r="W19" i="1"/>
  <c r="K15" i="1"/>
  <c r="I16" i="1"/>
  <c r="G19" i="1"/>
  <c r="V19" i="1" s="1"/>
  <c r="X19" i="1" s="1"/>
  <c r="I19" i="1" s="1"/>
  <c r="X13" i="1"/>
  <c r="I13" i="1" s="1"/>
  <c r="H17" i="1"/>
  <c r="V17" i="1" s="1"/>
  <c r="X17" i="1" s="1"/>
  <c r="I17" i="1" s="1"/>
  <c r="K18" i="1"/>
  <c r="K23" i="1"/>
  <c r="K25" i="1"/>
  <c r="K34" i="1"/>
  <c r="W35" i="1"/>
  <c r="W33" i="1" s="1"/>
  <c r="K37" i="1"/>
  <c r="W38" i="1"/>
  <c r="W24" i="1"/>
  <c r="W36" i="1"/>
  <c r="X36" i="1" s="1"/>
  <c r="I36" i="1" s="1"/>
  <c r="W13" i="1"/>
  <c r="W11" i="1" s="1"/>
  <c r="G24" i="1"/>
  <c r="V24" i="1" s="1"/>
  <c r="K12" i="1"/>
  <c r="K14" i="1"/>
  <c r="K16" i="1"/>
  <c r="V26" i="1" l="1"/>
  <c r="V11" i="1"/>
</calcChain>
</file>

<file path=xl/sharedStrings.xml><?xml version="1.0" encoding="utf-8"?>
<sst xmlns="http://schemas.openxmlformats.org/spreadsheetml/2006/main" count="195" uniqueCount="90">
  <si>
    <t xml:space="preserve">Номер 
показателя резуль-тативности 
</t>
  </si>
  <si>
    <t>Наименование показателя результативности 
в соответствии с приказом МЗ РФ
от 10.02.2023 № 44н</t>
  </si>
  <si>
    <t>Текущий период</t>
  </si>
  <si>
    <t>Аналогичный период годом ранее</t>
  </si>
  <si>
    <r>
      <rPr>
        <b/>
        <sz val="9"/>
        <color theme="1"/>
        <rFont val="Calibri"/>
        <family val="2"/>
        <scheme val="minor"/>
      </rPr>
      <t>Значение в числителе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</si>
  <si>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Значение в знаменателе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</si>
  <si>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Фактически достигнутое значение</t>
    </r>
    <r>
      <rPr>
        <sz val="9"/>
        <color theme="1"/>
        <rFont val="Calibri"/>
        <family val="2"/>
        <scheme val="minor"/>
      </rPr>
      <t xml:space="preserve"> показателя 
за анализируемый период, доля</t>
    </r>
  </si>
  <si>
    <r>
      <rPr>
        <b/>
        <sz val="9"/>
        <color theme="1"/>
        <rFont val="Calibri"/>
        <family val="2"/>
        <scheme val="minor"/>
      </rPr>
      <t>Целевое значение</t>
    </r>
    <r>
      <rPr>
        <sz val="9"/>
        <color theme="1"/>
        <rFont val="Calibri"/>
        <family val="2"/>
        <scheme val="minor"/>
      </rPr>
      <t xml:space="preserve"> показателя 
на анализируемый период 
(план)</t>
    </r>
  </si>
  <si>
    <t>Прирост (уменьшение), %</t>
  </si>
  <si>
    <t>Доля выполнение плана</t>
  </si>
  <si>
    <t>Балл</t>
  </si>
  <si>
    <t>Соответствие МО категории "минимально/максимально возможное значение" по соответствующему показателю</t>
  </si>
  <si>
    <t>Соответствие МО категории "выше/ниже среднего" по соответствующему показателю</t>
  </si>
  <si>
    <t xml:space="preserve">Факт применения показателя для МО </t>
  </si>
  <si>
    <t>Комментарий (необязательно)</t>
  </si>
  <si>
    <t>Правила заполнения столбцов.</t>
  </si>
  <si>
    <t>Заполнение обязательно при условии значения "1" в столбце "Факт применения показателя" (гр. 12)</t>
  </si>
  <si>
    <t>Итоговый балл, присваиваемый МО по показателю
Заполнение обязательно при условии значения "1" в столбце "Факт применения показателя" (гр. 12)
Значение от 0 до 2 включительно.</t>
  </si>
  <si>
    <t>1- в случае соответствия МО указанному критерию начисления баллов
0 - в случае несоответствия (или неприменения показателя)</t>
  </si>
  <si>
    <t>Итоговый балл, присвоенный МО по показателю за предыдущий период
Заполнение обязательно при условии значения "1" в столбце "Факт применения показателя"
Значение от 0 до 2 включительно.</t>
  </si>
  <si>
    <t>среднее</t>
  </si>
  <si>
    <t>Блок 1 "Взрослое население (в возрасте 18 лет и старше)"</t>
  </si>
  <si>
    <t>Доля врачебных посещений с профилактической целью за период, от общего числа посещений за период (включая посещения на дому).</t>
  </si>
  <si>
    <t>х</t>
  </si>
  <si>
    <t>pok1</t>
  </si>
  <si>
    <t>Доля взрослых с болезнями системы кровообращения, выявленными впервые при профилактических медицинских осмотрах и диспансеризации за период, от общего числа взрослых пациентов с болезнями системы кровообращения с впервые в жизни установленным диагнозом за период.</t>
  </si>
  <si>
    <t>pok2</t>
  </si>
  <si>
    <t>Доля взрослых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период.</t>
  </si>
  <si>
    <t>pok3</t>
  </si>
  <si>
    <t>Доля взрослых с установленным диагнозом хроническая обструктивная болезнь легких,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хроническая обструктивная легочная болезнь за период.</t>
  </si>
  <si>
    <t>pok4</t>
  </si>
  <si>
    <t>Доля взрослых с установленным диагнозом сахарный диабет,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сахарный диабет за период.</t>
  </si>
  <si>
    <t>pok5</t>
  </si>
  <si>
    <t>Выполнение плана вакцинации взрослых граждан по эпидемиологическим показаниям за период (коронавирусная инфекция COVID-19)</t>
  </si>
  <si>
    <t>pok6</t>
  </si>
  <si>
    <t xml:space="preserve">Доля взрослых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смерти, за период. </t>
  </si>
  <si>
    <t>pok7</t>
  </si>
  <si>
    <t xml:space="preserve">Число взрослых с болезнями  системы кровообращения*, имеющих высокий риск преждевременной смерти, которым за период оказана медицинская  помощь в экстренной и неотложной форме, от общего числа  взрослых пациентов с болезнями системы кровообращения*, имеющих высокий риск преждевременной смерти, за период. </t>
  </si>
  <si>
    <t>pok8</t>
  </si>
  <si>
    <t xml:space="preserve">Доля взрослых с болезнями системы кровообращения, в отношении которых установлено диспансерное наблюдение 
за период, от общего числа взрослых пациентов с впервые в жизни установленным диагнозом болезни системы кровообращения за период. </t>
  </si>
  <si>
    <t>pok9</t>
  </si>
  <si>
    <t>Доля взрослых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период.</t>
  </si>
  <si>
    <t>pok10</t>
  </si>
  <si>
    <t>Доля взрослых с установленным диагнозом сахарный диабет, в отношении которых установлено диспансерное наблюдение за период, от общего числа взрослых пациентов с впервые в жизни установленным диагнозом сахарный диабет за период.</t>
  </si>
  <si>
    <t>pok11</t>
  </si>
  <si>
    <t>Доля взрослых,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период.</t>
  </si>
  <si>
    <t>pok12</t>
  </si>
  <si>
    <t>Доля взрослых, повторно госпитализированных за период по причине заболеваний сердечно-сосудистой системы или их осложнений в течение года  с момента предыдущей госпитализации, от общего числа взрослых, госпитализированных за период по причине заболеваний сердечно-сосудистой системы или их осложнений.</t>
  </si>
  <si>
    <t>pok13</t>
  </si>
  <si>
    <t>Доля взрослых,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находящихся под диспансерным наблюдением по поводу сахарного диабета за период.</t>
  </si>
  <si>
    <t>pok14</t>
  </si>
  <si>
    <t>Блок 2 "Детское население (от 0 до 17 лет включительно)"</t>
  </si>
  <si>
    <t>Охват вакцинацией детей в рамках Национального календаря прививок.</t>
  </si>
  <si>
    <t>Доля детей, в отношении которых установлено диспансерное наблюдение по поводу болезней костно-мышечной системы и соединительной ткани за период, от общего числа детей с впервые в жизни установленными диагнозами болезней костно-мышечной системы и соединительной ткани за период.</t>
  </si>
  <si>
    <t>pok16</t>
  </si>
  <si>
    <t>Доля детей, в отношении которых установлено диспансерное наблюдение по поводу болезней глаза и его придаточного аппарата за период, от общего числа детей с впервые в жизни установленными диагнозами болезней глаза и его придаточного аппарата за период.</t>
  </si>
  <si>
    <t>pok17</t>
  </si>
  <si>
    <t>Доля детей, в отношении которых установлено диспансерное наблюдение по поводу болезней органов пищеварения за период, от общего числа детей с впервые в жизни установленными диагнозами болезней органов пищеварения за период.</t>
  </si>
  <si>
    <t>pok18</t>
  </si>
  <si>
    <t>Доля детей, в отношении которых установлено диспансерное наблюдение по поводу болезней системы кровообращения за период от общего числа детей с впервые в жизни установленными диагнозами болезней системы кровообращения за период.</t>
  </si>
  <si>
    <t>pok19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</si>
  <si>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период.</t>
  </si>
  <si>
    <t>pok20</t>
  </si>
  <si>
    <t>Блок 3 "Оказание акушерско-гинекологической помощи"</t>
  </si>
  <si>
    <t>Доля женщин, отказавшихся от искусственного прерывания беременности, от числа женщин, прошедших доабортное консультирование за период.</t>
  </si>
  <si>
    <t>Доля беременных женщин, вакцинированных от новой  коронавирусной инфекции (COVID-19), за период, от числа женщин, состоящих на учете по беременности и родам на начало периода.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</si>
  <si>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 новообразование шейки матки за период.</t>
  </si>
  <si>
    <t>pok23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</si>
  <si>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 за период.</t>
  </si>
  <si>
    <t>pok24</t>
  </si>
  <si>
    <t>Доля беременных женщин, прошедших скрининг в части оценки антенатального развития плода за период, от общего числа женщин, состоявших на учете по поводу беременности и родов за период.</t>
  </si>
  <si>
    <t>Блок 4 "Стоматология" (не обязательно для заполнения)</t>
  </si>
  <si>
    <t>Наименование показателя результативности по профилю "Стоматология"</t>
  </si>
  <si>
    <t>тип</t>
  </si>
  <si>
    <t>It1</t>
  </si>
  <si>
    <t>It2</t>
  </si>
  <si>
    <t>It3</t>
  </si>
  <si>
    <t>pok15</t>
  </si>
  <si>
    <t>pok21</t>
  </si>
  <si>
    <t>pok22</t>
  </si>
  <si>
    <t>pok25</t>
  </si>
  <si>
    <t>Отчет получен 26.12.2023</t>
  </si>
  <si>
    <t>Сведения об использовании показателей результативности деятельности медицинских организаций на  1 ноября</t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</si>
  <si>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3" / "графа 4")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</si>
  <si>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 в формате, сопоставимом с графой 5. 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</si>
  <si>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5"/"графа 16" * 100 - 100)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</si>
  <si>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На 100 не умножается.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 / "графа 6" )</t>
    </r>
  </si>
  <si>
    <r>
      <rPr>
        <sz val="9"/>
        <color theme="1"/>
        <rFont val="Calibri"/>
        <family val="2"/>
        <scheme val="minor"/>
      </rPr>
      <t xml:space="preserve">0 - не применяется, 
1 - применяется, 
2 - применяется, но исключен из числа применяемых показателей при расчете доли достигнутых показателей в связи со значением "0" в столбце 4
</t>
    </r>
    <r>
      <rPr>
        <b/>
        <sz val="9"/>
        <color theme="1"/>
        <rFont val="Calibri"/>
        <family val="2"/>
        <scheme val="minor"/>
      </rPr>
      <t>Обязательно для заполнения всегда</t>
    </r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</si>
  <si>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14"/"графа 15")</t>
    </r>
  </si>
  <si>
    <t>Субъект РФ / Наименование абонента: Курганская область/КОБ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</si>
</sst>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00000"/>
    <numFmt numFmtId="165" formatCode="##0.00"/>
    <numFmt numFmtId="166" formatCode="_-* #,##0&quot;р.&quot;_-;\-* #,##0&quot;р.&quot;_-;_-* &quot;-&quot;&quot;р.&quot;_-;_-@_-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##0.000000000"/>
    <numFmt numFmtId="171" formatCode="0.00000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rgb="FF00B0F0"/>
      <name val="Calibri"/>
      <family val="2"/>
      <scheme val="minor"/>
    </font>
    <font>
      <sz val="9"/>
      <color rgb="FF000000"/>
      <name val="Times New Roman"/>
      <family val="1"/>
    </font>
    <font>
      <sz val="11"/>
      <name val="Calibri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6" fillId="0" borderId="0"/>
  </cellStyleXfs>
  <cellXfs count="82">
    <xf numFmtId="0" fontId="0" fillId="0" borderId="0" xfId="0"/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vertical="top" wrapText="1"/>
    </xf>
    <xf numFmtId="0" fontId="5" fillId="0" borderId="3" xfId="6" applyFont="1" applyBorder="1"/>
    <xf numFmtId="0" fontId="5" fillId="0" borderId="1" xfId="6" applyFont="1" applyBorder="1"/>
    <xf numFmtId="0" fontId="5" fillId="0" borderId="2" xfId="6" applyFont="1" applyBorder="1"/>
    <xf numFmtId="0" fontId="10" fillId="0" borderId="1" xfId="6" applyFont="1" applyBorder="1" applyAlignment="1">
      <alignment horizontal="justify" vertical="top" wrapText="1"/>
    </xf>
    <xf numFmtId="0" fontId="5" fillId="3" borderId="4" xfId="6" applyFont="1" applyFill="1" applyBorder="1" applyAlignment="1">
      <alignment vertical="center"/>
    </xf>
    <xf numFmtId="0" fontId="6" fillId="3" borderId="4" xfId="6" applyFont="1" applyFill="1" applyBorder="1" applyAlignment="1">
      <alignment horizontal="center" vertical="top" wrapText="1"/>
    </xf>
    <xf numFmtId="0" fontId="2" fillId="0" borderId="1" xfId="6" applyFont="1" applyBorder="1" applyAlignment="1">
      <alignment horizontal="center" vertical="center" wrapText="1"/>
    </xf>
    <xf numFmtId="0" fontId="16" fillId="0" borderId="1" xfId="6" applyBorder="1"/>
    <xf numFmtId="0" fontId="2" fillId="0" borderId="1" xfId="6" applyFont="1" applyBorder="1" applyAlignment="1">
      <alignment horizontal="center" vertical="top" wrapText="1"/>
    </xf>
    <xf numFmtId="164" fontId="5" fillId="0" borderId="1" xfId="6" applyNumberFormat="1" applyFont="1" applyBorder="1"/>
    <xf numFmtId="164" fontId="5" fillId="0" borderId="1" xfId="6" applyNumberFormat="1" applyFont="1" applyBorder="1" applyAlignment="1">
      <alignment horizontal="center" vertical="center"/>
    </xf>
    <xf numFmtId="0" fontId="12" fillId="5" borderId="1" xfId="8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vertical="top" wrapText="1"/>
    </xf>
    <xf numFmtId="0" fontId="11" fillId="0" borderId="0" xfId="10"/>
    <xf numFmtId="0" fontId="12" fillId="0" borderId="1" xfId="10" applyFont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0" fontId="11" fillId="0" borderId="1" xfId="10" applyBorder="1"/>
    <xf numFmtId="165" fontId="11" fillId="0" borderId="0" xfId="10" applyNumberFormat="1" applyFill="1"/>
    <xf numFmtId="0" fontId="0" fillId="0" borderId="1" xfId="16" applyFont="1" applyBorder="1"/>
    <xf numFmtId="0" fontId="5" fillId="0" borderId="6" xfId="6" applyFont="1" applyBorder="1"/>
    <xf numFmtId="0" fontId="5" fillId="0" borderId="1" xfId="6" applyFont="1" applyFill="1" applyBorder="1" applyAlignment="1">
      <alignment horizontal="center" vertical="center"/>
    </xf>
    <xf numFmtId="170" fontId="12" fillId="5" borderId="1" xfId="10" applyNumberFormat="1" applyFont="1" applyFill="1" applyBorder="1" applyAlignment="1">
      <alignment horizontal="center" vertical="center" wrapText="1"/>
    </xf>
    <xf numFmtId="0" fontId="12" fillId="5" borderId="1" xfId="10" applyFont="1" applyFill="1" applyBorder="1" applyAlignment="1">
      <alignment horizontal="center" vertical="center" wrapText="1"/>
    </xf>
    <xf numFmtId="0" fontId="14" fillId="6" borderId="0" xfId="6" applyFont="1" applyFill="1" applyAlignment="1">
      <alignment horizontal="center" vertical="center"/>
    </xf>
    <xf numFmtId="164" fontId="11" fillId="4" borderId="1" xfId="7" applyNumberFormat="1" applyFont="1" applyFill="1" applyBorder="1" applyAlignment="1">
      <alignment wrapText="1"/>
    </xf>
    <xf numFmtId="164" fontId="11" fillId="0" borderId="1" xfId="10" applyNumberFormat="1" applyBorder="1"/>
    <xf numFmtId="171" fontId="5" fillId="0" borderId="1" xfId="6" applyNumberFormat="1" applyFont="1" applyBorder="1"/>
    <xf numFmtId="171" fontId="5" fillId="0" borderId="1" xfId="6" applyNumberFormat="1" applyFont="1" applyBorder="1" applyAlignment="1">
      <alignment horizontal="center" vertical="center"/>
    </xf>
    <xf numFmtId="2" fontId="0" fillId="0" borderId="0" xfId="16" applyNumberFormat="1" applyFont="1"/>
    <xf numFmtId="2" fontId="11" fillId="4" borderId="1" xfId="7" applyNumberFormat="1" applyFont="1" applyFill="1" applyBorder="1" applyAlignment="1">
      <alignment wrapText="1"/>
    </xf>
    <xf numFmtId="2" fontId="11" fillId="4" borderId="1" xfId="7" applyNumberFormat="1" applyFill="1" applyBorder="1" applyAlignment="1">
      <alignment wrapText="1"/>
    </xf>
    <xf numFmtId="2" fontId="5" fillId="0" borderId="1" xfId="6" applyNumberFormat="1" applyFont="1" applyBorder="1"/>
    <xf numFmtId="4" fontId="5" fillId="0" borderId="1" xfId="6" applyNumberFormat="1" applyFont="1" applyBorder="1"/>
    <xf numFmtId="4" fontId="11" fillId="4" borderId="1" xfId="7" applyNumberFormat="1" applyFill="1" applyBorder="1" applyAlignment="1">
      <alignment wrapText="1"/>
    </xf>
    <xf numFmtId="0" fontId="15" fillId="0" borderId="0" xfId="0" applyFont="1"/>
    <xf numFmtId="165" fontId="18" fillId="5" borderId="1" xfId="10" applyNumberFormat="1" applyFont="1" applyFill="1" applyBorder="1" applyAlignment="1">
      <alignment horizontal="center" vertical="center" wrapText="1"/>
    </xf>
    <xf numFmtId="0" fontId="15" fillId="7" borderId="1" xfId="6" applyFont="1" applyFill="1" applyBorder="1"/>
    <xf numFmtId="0" fontId="15" fillId="0" borderId="1" xfId="6" applyFont="1" applyBorder="1" applyAlignment="1">
      <alignment horizontal="center" vertical="center"/>
    </xf>
    <xf numFmtId="0" fontId="15" fillId="0" borderId="1" xfId="6" applyFont="1" applyBorder="1"/>
    <xf numFmtId="165" fontId="15" fillId="0" borderId="0" xfId="0" applyNumberFormat="1" applyFont="1"/>
    <xf numFmtId="0" fontId="3" fillId="0" borderId="0" xfId="6" applyFont="1" applyAlignment="1">
      <alignment horizontal="left" vertical="center" wrapText="1"/>
    </xf>
    <xf numFmtId="0" fontId="3" fillId="0" borderId="0" xfId="6" applyFont="1" applyAlignment="1">
      <alignment horizontal="left" vertical="center"/>
    </xf>
    <xf numFmtId="0" fontId="15" fillId="0" borderId="0" xfId="6" applyFont="1" applyAlignment="1">
      <alignment horizontal="left" vertical="center" wrapText="1"/>
    </xf>
    <xf numFmtId="0" fontId="15" fillId="0" borderId="0" xfId="6" applyFont="1" applyAlignment="1">
      <alignment horizontal="left" vertical="center"/>
    </xf>
    <xf numFmtId="0" fontId="5" fillId="0" borderId="8" xfId="6" applyFont="1" applyBorder="1" applyAlignment="1">
      <alignment horizontal="center" vertical="center"/>
    </xf>
    <xf numFmtId="0" fontId="5" fillId="0" borderId="9" xfId="6" applyFont="1" applyBorder="1" applyAlignment="1">
      <alignment horizontal="center" vertical="center"/>
    </xf>
    <xf numFmtId="0" fontId="5" fillId="0" borderId="10" xfId="6" applyFont="1" applyBorder="1" applyAlignment="1">
      <alignment horizontal="center" vertical="center"/>
    </xf>
    <xf numFmtId="0" fontId="6" fillId="2" borderId="4" xfId="6" applyFont="1" applyFill="1" applyBorder="1" applyAlignment="1">
      <alignment horizontal="center" vertical="top" wrapText="1"/>
    </xf>
    <xf numFmtId="0" fontId="6" fillId="2" borderId="7" xfId="6" applyFont="1" applyFill="1" applyBorder="1" applyAlignment="1">
      <alignment horizontal="center" vertical="top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4" fillId="0" borderId="14" xfId="6" applyFont="1" applyBorder="1" applyAlignment="1">
      <alignment horizontal="center"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2" fillId="0" borderId="3" xfId="6" applyFont="1" applyFill="1" applyBorder="1" applyAlignment="1">
      <alignment horizontal="center" vertical="center" wrapText="1"/>
    </xf>
    <xf numFmtId="1" fontId="2" fillId="0" borderId="1" xfId="6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17" fillId="0" borderId="3" xfId="6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wrapText="1"/>
    </xf>
    <xf numFmtId="165" fontId="12" fillId="0" borderId="1" xfId="10" applyNumberFormat="1" applyFont="1" applyFill="1" applyBorder="1" applyAlignment="1">
      <alignment horizontal="center" vertical="center" wrapText="1"/>
    </xf>
    <xf numFmtId="165" fontId="13" fillId="0" borderId="1" xfId="10" applyNumberFormat="1" applyFont="1" applyFill="1" applyBorder="1" applyAlignment="1">
      <alignment horizontal="center" vertical="center" wrapText="1"/>
    </xf>
    <xf numFmtId="165" fontId="13" fillId="0" borderId="1" xfId="1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6" applyNumberFormat="1" applyFont="1" applyFill="1" applyBorder="1"/>
    <xf numFmtId="0" fontId="11" fillId="0" borderId="1" xfId="7" applyFill="1" applyBorder="1" applyAlignment="1">
      <alignment wrapText="1"/>
    </xf>
  </cellXfs>
  <cellStyles count="17">
    <cellStyle name="Comma" xfId="4"/>
    <cellStyle name="Comma [0]" xfId="5"/>
    <cellStyle name="Currency" xfId="2"/>
    <cellStyle name="Currency [0]" xfId="3"/>
    <cellStyle name="Normal" xfId="16"/>
    <cellStyle name="Percent" xfId="1"/>
    <cellStyle name="Обычный" xfId="0" builtinId="0"/>
    <cellStyle name="Обычный 2" xfId="7"/>
    <cellStyle name="Обычный 2 2" xfId="12"/>
    <cellStyle name="Обычный 3" xfId="8"/>
    <cellStyle name="Обычный 3 2" xfId="13"/>
    <cellStyle name="Обычный 4" xfId="6"/>
    <cellStyle name="Обычный 5" xfId="9"/>
    <cellStyle name="Обычный 5 2" xfId="14"/>
    <cellStyle name="Обычный 6" xfId="10"/>
    <cellStyle name="Обычный 6 2" xfId="15"/>
    <cellStyle name="Обычный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zoomScaleNormal="100" workbookViewId="0">
      <pane xSplit="2" ySplit="11" topLeftCell="C15" activePane="bottomRight" state="frozen"/>
      <selection pane="topRight" activeCell="C1" sqref="C1"/>
      <selection pane="bottomLeft" activeCell="A12" sqref="A12"/>
      <selection pane="bottomRight" activeCell="A4" sqref="A4:A9"/>
    </sheetView>
  </sheetViews>
  <sheetFormatPr defaultColWidth="9.140625" defaultRowHeight="15.75" x14ac:dyDescent="0.25"/>
  <cols>
    <col min="1" max="1" width="8.5703125" customWidth="1"/>
    <col min="2" max="2" width="17.85546875" customWidth="1"/>
    <col min="3" max="3" width="15.140625" customWidth="1"/>
    <col min="4" max="4" width="14.140625" style="31" customWidth="1"/>
    <col min="5" max="5" width="16.5703125" customWidth="1"/>
    <col min="6" max="6" width="15.42578125" customWidth="1"/>
    <col min="7" max="7" width="15.5703125" customWidth="1"/>
    <col min="8" max="8" width="13.28515625" customWidth="1"/>
    <col min="9" max="9" width="9.140625" style="37"/>
    <col min="10" max="10" width="14.42578125" customWidth="1"/>
    <col min="11" max="11" width="13.5703125" customWidth="1"/>
    <col min="13" max="13" width="0" hidden="1" customWidth="1"/>
    <col min="14" max="14" width="11.85546875" customWidth="1"/>
    <col min="16" max="16" width="13.140625" customWidth="1"/>
    <col min="17" max="17" width="0" hidden="1" customWidth="1"/>
    <col min="18" max="20" width="8.5703125" hidden="1" customWidth="1"/>
    <col min="21" max="21" width="15.42578125" customWidth="1"/>
    <col min="22" max="23" width="8.5703125" customWidth="1"/>
    <col min="24" max="24" width="8.5703125" hidden="1" customWidth="1"/>
    <col min="25" max="25" width="8.5703125" customWidth="1"/>
  </cols>
  <sheetData>
    <row r="1" spans="1:24" x14ac:dyDescent="0.25">
      <c r="A1" t="s">
        <v>81</v>
      </c>
    </row>
    <row r="2" spans="1:24" ht="18.75" x14ac:dyDescent="0.25">
      <c r="A2" s="43" t="s">
        <v>82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24" x14ac:dyDescent="0.25">
      <c r="A3" s="45" t="s">
        <v>89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24" ht="15" x14ac:dyDescent="0.25">
      <c r="A4" s="52" t="s">
        <v>0</v>
      </c>
      <c r="B4" s="55" t="s">
        <v>1</v>
      </c>
      <c r="C4" s="47" t="s">
        <v>2</v>
      </c>
      <c r="D4" s="47"/>
      <c r="E4" s="47"/>
      <c r="F4" s="47"/>
      <c r="G4" s="47"/>
      <c r="H4" s="47"/>
      <c r="I4" s="47"/>
      <c r="J4" s="47"/>
      <c r="K4" s="47"/>
      <c r="L4" s="47"/>
      <c r="M4" s="48"/>
      <c r="N4" s="49" t="s">
        <v>3</v>
      </c>
      <c r="O4" s="47"/>
      <c r="P4" s="47"/>
      <c r="Q4" s="47"/>
      <c r="R4" s="48"/>
    </row>
    <row r="5" spans="1:24" ht="15" x14ac:dyDescent="0.25">
      <c r="A5" s="53"/>
      <c r="B5" s="56"/>
      <c r="C5" s="58" t="s">
        <v>4</v>
      </c>
      <c r="D5" s="59" t="s">
        <v>5</v>
      </c>
      <c r="E5" s="60" t="s">
        <v>6</v>
      </c>
      <c r="F5" s="60" t="s">
        <v>7</v>
      </c>
      <c r="G5" s="60" t="s">
        <v>8</v>
      </c>
      <c r="H5" s="60" t="s">
        <v>9</v>
      </c>
      <c r="I5" s="61" t="s">
        <v>10</v>
      </c>
      <c r="J5" s="60" t="s">
        <v>11</v>
      </c>
      <c r="K5" s="60" t="s">
        <v>12</v>
      </c>
      <c r="L5" s="60" t="s">
        <v>13</v>
      </c>
      <c r="M5" s="62" t="s">
        <v>14</v>
      </c>
      <c r="N5" s="63" t="s">
        <v>4</v>
      </c>
      <c r="O5" s="60" t="s">
        <v>5</v>
      </c>
      <c r="P5" s="60" t="s">
        <v>6</v>
      </c>
      <c r="Q5" s="60" t="s">
        <v>10</v>
      </c>
      <c r="R5" s="62" t="s">
        <v>14</v>
      </c>
    </row>
    <row r="6" spans="1:24" ht="15" x14ac:dyDescent="0.25">
      <c r="A6" s="53"/>
      <c r="B6" s="56"/>
      <c r="C6" s="58"/>
      <c r="D6" s="59"/>
      <c r="E6" s="60"/>
      <c r="F6" s="60"/>
      <c r="G6" s="60"/>
      <c r="H6" s="60"/>
      <c r="I6" s="61"/>
      <c r="J6" s="60"/>
      <c r="K6" s="60"/>
      <c r="L6" s="60"/>
      <c r="M6" s="62"/>
      <c r="N6" s="63"/>
      <c r="O6" s="60"/>
      <c r="P6" s="60"/>
      <c r="Q6" s="60"/>
      <c r="R6" s="62"/>
    </row>
    <row r="7" spans="1:24" ht="15" x14ac:dyDescent="0.25">
      <c r="A7" s="53"/>
      <c r="B7" s="56"/>
      <c r="C7" s="58"/>
      <c r="D7" s="59"/>
      <c r="E7" s="60"/>
      <c r="F7" s="60"/>
      <c r="G7" s="60"/>
      <c r="H7" s="60"/>
      <c r="I7" s="61"/>
      <c r="J7" s="60"/>
      <c r="K7" s="60"/>
      <c r="L7" s="60"/>
      <c r="M7" s="62"/>
      <c r="N7" s="63"/>
      <c r="O7" s="60"/>
      <c r="P7" s="60"/>
      <c r="Q7" s="60"/>
      <c r="R7" s="62"/>
    </row>
    <row r="8" spans="1:24" ht="15" x14ac:dyDescent="0.25">
      <c r="A8" s="53"/>
      <c r="B8" s="56"/>
      <c r="C8" s="64" t="s">
        <v>15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5"/>
    </row>
    <row r="9" spans="1:24" ht="27" customHeight="1" x14ac:dyDescent="0.25">
      <c r="A9" s="54"/>
      <c r="B9" s="57"/>
      <c r="C9" s="66" t="s">
        <v>16</v>
      </c>
      <c r="D9" s="67" t="s">
        <v>16</v>
      </c>
      <c r="E9" s="68" t="s">
        <v>83</v>
      </c>
      <c r="F9" s="68" t="s">
        <v>84</v>
      </c>
      <c r="G9" s="68" t="s">
        <v>85</v>
      </c>
      <c r="H9" s="68" t="s">
        <v>86</v>
      </c>
      <c r="I9" s="69" t="s">
        <v>17</v>
      </c>
      <c r="J9" s="68" t="s">
        <v>18</v>
      </c>
      <c r="K9" s="68" t="s">
        <v>18</v>
      </c>
      <c r="L9" s="68" t="s">
        <v>87</v>
      </c>
      <c r="M9" s="70"/>
      <c r="N9" s="71" t="s">
        <v>16</v>
      </c>
      <c r="O9" s="68" t="s">
        <v>16</v>
      </c>
      <c r="P9" s="68" t="s">
        <v>88</v>
      </c>
      <c r="Q9" s="68" t="s">
        <v>19</v>
      </c>
      <c r="R9" s="70"/>
    </row>
    <row r="10" spans="1:24" x14ac:dyDescent="0.25">
      <c r="A10" s="9">
        <v>1</v>
      </c>
      <c r="B10" s="9">
        <v>2</v>
      </c>
      <c r="C10" s="72">
        <v>3</v>
      </c>
      <c r="D10" s="73">
        <v>4</v>
      </c>
      <c r="E10" s="72">
        <v>5</v>
      </c>
      <c r="F10" s="74">
        <v>6</v>
      </c>
      <c r="G10" s="72">
        <v>7</v>
      </c>
      <c r="H10" s="74">
        <v>8</v>
      </c>
      <c r="I10" s="75">
        <v>9</v>
      </c>
      <c r="J10" s="74">
        <v>10</v>
      </c>
      <c r="K10" s="72">
        <v>11</v>
      </c>
      <c r="L10" s="74">
        <v>12</v>
      </c>
      <c r="M10" s="72">
        <v>13</v>
      </c>
      <c r="N10" s="74">
        <v>14</v>
      </c>
      <c r="O10" s="72">
        <v>15</v>
      </c>
      <c r="P10" s="74">
        <v>16</v>
      </c>
      <c r="Q10" s="74">
        <v>17</v>
      </c>
      <c r="R10" s="74">
        <v>18</v>
      </c>
      <c r="S10" s="21" t="s">
        <v>73</v>
      </c>
      <c r="T10" s="21"/>
      <c r="U10" s="18" t="s">
        <v>20</v>
      </c>
      <c r="V10" s="17" t="s">
        <v>74</v>
      </c>
      <c r="W10" s="17" t="s">
        <v>75</v>
      </c>
      <c r="X10" s="17" t="s">
        <v>76</v>
      </c>
    </row>
    <row r="11" spans="1:24" ht="15" x14ac:dyDescent="0.25">
      <c r="A11" s="10"/>
      <c r="B11" s="11"/>
      <c r="C11" s="50" t="s">
        <v>21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21"/>
      <c r="U11" s="19"/>
      <c r="V11" s="77">
        <f>SUM(V12:V24)</f>
        <v>8</v>
      </c>
      <c r="W11" s="77">
        <f>SUM(W12:W25)</f>
        <v>3</v>
      </c>
      <c r="X11" s="20">
        <f t="shared" ref="X11:X38" si="0">IF(L11=0,0,MAX(V11,W11))</f>
        <v>0</v>
      </c>
    </row>
    <row r="12" spans="1:24" ht="23.25" customHeight="1" x14ac:dyDescent="0.25">
      <c r="A12" s="1">
        <v>1</v>
      </c>
      <c r="B12" s="2" t="s">
        <v>22</v>
      </c>
      <c r="C12" s="32">
        <v>8399</v>
      </c>
      <c r="D12" s="32">
        <v>2614473</v>
      </c>
      <c r="E12" s="29">
        <f t="shared" ref="E12:E25" si="1">IF(D12=0,0,C12/D12)</f>
        <v>3.2125020988933526E-3</v>
      </c>
      <c r="F12" s="30" t="s">
        <v>23</v>
      </c>
      <c r="G12" s="30">
        <f>IF(P12=0,0,E12/P12*100-100)</f>
        <v>385.10890721631228</v>
      </c>
      <c r="H12" s="30" t="s">
        <v>23</v>
      </c>
      <c r="I12" s="38">
        <f t="shared" ref="I12:I25" si="2">IF(L12=1,X12,0)</f>
        <v>1</v>
      </c>
      <c r="J12" s="24">
        <f t="shared" ref="J12:J18" si="3">IF(E12=1,1,0)</f>
        <v>0</v>
      </c>
      <c r="K12" s="4">
        <f t="shared" ref="K12:K18" si="4">IF(E12&gt;U12,1,0)</f>
        <v>0</v>
      </c>
      <c r="L12" s="14">
        <f t="shared" ref="L12:L25" si="5">IF(D12=0,2,1)</f>
        <v>1</v>
      </c>
      <c r="M12" s="5"/>
      <c r="N12" s="76">
        <v>1706</v>
      </c>
      <c r="O12" s="76">
        <v>2576172</v>
      </c>
      <c r="P12" s="12">
        <f>IF(O12=0,0,N12/O12)</f>
        <v>6.6222286400131663E-4</v>
      </c>
      <c r="Q12" s="4"/>
      <c r="R12" s="5"/>
      <c r="S12" s="21" t="s">
        <v>24</v>
      </c>
      <c r="T12" s="26">
        <v>1</v>
      </c>
      <c r="U12" s="27">
        <v>5.6039999999999996E-3</v>
      </c>
      <c r="V12" s="78">
        <f>IF(G12&lt;3,0,(IF(G12&gt;=7,1,0.5)))</f>
        <v>1</v>
      </c>
      <c r="W12" s="79">
        <f>IF(E12=1,1,(IF(E12&gt;U12,0.5,0)))</f>
        <v>0</v>
      </c>
      <c r="X12" s="20">
        <f t="shared" si="0"/>
        <v>1</v>
      </c>
    </row>
    <row r="13" spans="1:24" ht="23.25" customHeight="1" x14ac:dyDescent="0.25">
      <c r="A13" s="1">
        <v>2</v>
      </c>
      <c r="B13" s="2" t="s">
        <v>25</v>
      </c>
      <c r="C13" s="32">
        <v>731</v>
      </c>
      <c r="D13" s="32">
        <v>4381</v>
      </c>
      <c r="E13" s="29">
        <f t="shared" si="1"/>
        <v>0.16685688199041315</v>
      </c>
      <c r="F13" s="30" t="s">
        <v>23</v>
      </c>
      <c r="G13" s="30">
        <f>IF(P13=0,0,E13/P13*100-100)</f>
        <v>661.05277841182885</v>
      </c>
      <c r="H13" s="30" t="s">
        <v>23</v>
      </c>
      <c r="I13" s="38">
        <f t="shared" si="2"/>
        <v>2</v>
      </c>
      <c r="J13" s="24">
        <f t="shared" si="3"/>
        <v>0</v>
      </c>
      <c r="K13" s="4">
        <f t="shared" si="4"/>
        <v>0</v>
      </c>
      <c r="L13" s="14">
        <f t="shared" si="5"/>
        <v>1</v>
      </c>
      <c r="M13" s="5"/>
      <c r="N13" s="76">
        <v>18</v>
      </c>
      <c r="O13" s="76">
        <v>821</v>
      </c>
      <c r="P13" s="12">
        <f>IF(O13=0,0,N13/O13)</f>
        <v>2.192448233861145E-2</v>
      </c>
      <c r="Q13" s="4"/>
      <c r="R13" s="5"/>
      <c r="S13" s="21" t="s">
        <v>26</v>
      </c>
      <c r="T13" s="26">
        <v>1</v>
      </c>
      <c r="U13" s="27">
        <v>0.28306399999999998</v>
      </c>
      <c r="V13" s="78">
        <f>IF(G13&lt;5,0,(IF(G13&gt;=10,2,1)))</f>
        <v>2</v>
      </c>
      <c r="W13" s="78">
        <f>IF(E13=1,2,(IF(E13&gt;U13,1,0)))</f>
        <v>0</v>
      </c>
      <c r="X13" s="20">
        <f t="shared" si="0"/>
        <v>2</v>
      </c>
    </row>
    <row r="14" spans="1:24" ht="23.25" customHeight="1" x14ac:dyDescent="0.25">
      <c r="A14" s="1">
        <v>3</v>
      </c>
      <c r="B14" s="2" t="s">
        <v>27</v>
      </c>
      <c r="C14" s="32">
        <v>1</v>
      </c>
      <c r="D14" s="32">
        <v>221</v>
      </c>
      <c r="E14" s="29">
        <f t="shared" si="1"/>
        <v>4.5248868778280547E-3</v>
      </c>
      <c r="F14" s="30" t="s">
        <v>23</v>
      </c>
      <c r="G14" s="30">
        <f>IF(P14=0,0,E14/P14*100-100)</f>
        <v>0</v>
      </c>
      <c r="H14" s="30" t="s">
        <v>23</v>
      </c>
      <c r="I14" s="38">
        <f t="shared" si="2"/>
        <v>0</v>
      </c>
      <c r="J14" s="24">
        <f t="shared" si="3"/>
        <v>0</v>
      </c>
      <c r="K14" s="4">
        <f t="shared" si="4"/>
        <v>0</v>
      </c>
      <c r="L14" s="14">
        <f t="shared" si="5"/>
        <v>1</v>
      </c>
      <c r="M14" s="5"/>
      <c r="N14" s="76">
        <v>0</v>
      </c>
      <c r="O14" s="76">
        <v>4</v>
      </c>
      <c r="P14" s="12">
        <f>IF(O14=0,0,N14/O14)</f>
        <v>0</v>
      </c>
      <c r="Q14" s="4"/>
      <c r="R14" s="5"/>
      <c r="S14" s="21" t="s">
        <v>28</v>
      </c>
      <c r="T14" s="26">
        <v>1</v>
      </c>
      <c r="U14" s="27">
        <v>4.7390000000000002E-2</v>
      </c>
      <c r="V14" s="78">
        <f>IF(G14&lt;5,0,(IF(G14&gt;=10,1,0.5)))</f>
        <v>0</v>
      </c>
      <c r="W14" s="78">
        <f>IF(E14=1,1,(IF(E14&gt;U14,0.5,0)))</f>
        <v>0</v>
      </c>
      <c r="X14" s="20">
        <f t="shared" si="0"/>
        <v>0</v>
      </c>
    </row>
    <row r="15" spans="1:24" ht="23.25" customHeight="1" x14ac:dyDescent="0.25">
      <c r="A15" s="1">
        <v>4</v>
      </c>
      <c r="B15" s="2" t="s">
        <v>29</v>
      </c>
      <c r="C15" s="32">
        <v>6</v>
      </c>
      <c r="D15" s="32">
        <v>103</v>
      </c>
      <c r="E15" s="29">
        <f t="shared" si="1"/>
        <v>5.8252427184466021E-2</v>
      </c>
      <c r="F15" s="30" t="s">
        <v>23</v>
      </c>
      <c r="G15" s="30">
        <f>IF(P15=0,0,E15/P15*100-100)</f>
        <v>22.330097087378647</v>
      </c>
      <c r="H15" s="30" t="s">
        <v>23</v>
      </c>
      <c r="I15" s="38">
        <f t="shared" si="2"/>
        <v>1</v>
      </c>
      <c r="J15" s="24">
        <f t="shared" si="3"/>
        <v>0</v>
      </c>
      <c r="K15" s="4">
        <f t="shared" si="4"/>
        <v>0</v>
      </c>
      <c r="L15" s="14">
        <f t="shared" si="5"/>
        <v>1</v>
      </c>
      <c r="M15" s="5"/>
      <c r="N15" s="76">
        <v>1</v>
      </c>
      <c r="O15" s="76">
        <v>21</v>
      </c>
      <c r="P15" s="12">
        <f>IF(O15=0,0,N15/O15)</f>
        <v>4.7619047619047616E-2</v>
      </c>
      <c r="Q15" s="4"/>
      <c r="R15" s="5"/>
      <c r="S15" s="21" t="s">
        <v>30</v>
      </c>
      <c r="T15" s="26">
        <v>1</v>
      </c>
      <c r="U15" s="27">
        <v>9.8083000000000004E-2</v>
      </c>
      <c r="V15" s="78">
        <f>IF(G15&lt;5,0,(IF(G15&gt;=10,1,0.5)))</f>
        <v>1</v>
      </c>
      <c r="W15" s="78">
        <f>IF(E15=1,1,(IF(E15&gt;U15,0.5,0)))</f>
        <v>0</v>
      </c>
      <c r="X15" s="20">
        <f t="shared" si="0"/>
        <v>1</v>
      </c>
    </row>
    <row r="16" spans="1:24" ht="23.25" customHeight="1" x14ac:dyDescent="0.25">
      <c r="A16" s="1">
        <v>5</v>
      </c>
      <c r="B16" s="2" t="s">
        <v>31</v>
      </c>
      <c r="C16" s="32">
        <v>18</v>
      </c>
      <c r="D16" s="32">
        <v>578</v>
      </c>
      <c r="E16" s="29">
        <f t="shared" si="1"/>
        <v>3.1141868512110725E-2</v>
      </c>
      <c r="F16" s="30" t="s">
        <v>23</v>
      </c>
      <c r="G16" s="30">
        <f>IF(P16=0,0,E16/P16*100-100)</f>
        <v>-17.993079584775103</v>
      </c>
      <c r="H16" s="30" t="s">
        <v>23</v>
      </c>
      <c r="I16" s="38">
        <f t="shared" si="2"/>
        <v>0</v>
      </c>
      <c r="J16" s="24">
        <f t="shared" si="3"/>
        <v>0</v>
      </c>
      <c r="K16" s="4">
        <f t="shared" si="4"/>
        <v>0</v>
      </c>
      <c r="L16" s="14">
        <f t="shared" si="5"/>
        <v>1</v>
      </c>
      <c r="M16" s="5"/>
      <c r="N16" s="76">
        <v>6</v>
      </c>
      <c r="O16" s="76">
        <v>158</v>
      </c>
      <c r="P16" s="12">
        <f>IF(O16=0,0,N16/O16)</f>
        <v>3.7974683544303799E-2</v>
      </c>
      <c r="Q16" s="4"/>
      <c r="R16" s="5"/>
      <c r="S16" s="21" t="s">
        <v>32</v>
      </c>
      <c r="T16" s="26">
        <v>1</v>
      </c>
      <c r="U16" s="27">
        <v>0.10895000000000001</v>
      </c>
      <c r="V16" s="78">
        <f>IF(G16&lt;5,0,(IF(G16&gt;=10,1,0.5)))</f>
        <v>0</v>
      </c>
      <c r="W16" s="78">
        <f>IF(E16=1,1,(IF(E16&gt;U16,0.5,0)))</f>
        <v>0</v>
      </c>
      <c r="X16" s="20">
        <f t="shared" si="0"/>
        <v>0</v>
      </c>
    </row>
    <row r="17" spans="1:24" ht="23.25" customHeight="1" x14ac:dyDescent="0.25">
      <c r="A17" s="1">
        <v>6</v>
      </c>
      <c r="B17" s="2" t="s">
        <v>33</v>
      </c>
      <c r="C17" s="34">
        <v>44300</v>
      </c>
      <c r="D17" s="33">
        <v>43753</v>
      </c>
      <c r="E17" s="29">
        <f t="shared" si="1"/>
        <v>1.0125019998628666</v>
      </c>
      <c r="F17" s="29">
        <v>0.8</v>
      </c>
      <c r="G17" s="30" t="s">
        <v>23</v>
      </c>
      <c r="H17" s="29">
        <f>IF(F17=0,0,E17/F17)</f>
        <v>1.2656274998285832</v>
      </c>
      <c r="I17" s="38">
        <f t="shared" si="2"/>
        <v>2</v>
      </c>
      <c r="J17" s="24">
        <f t="shared" si="3"/>
        <v>0</v>
      </c>
      <c r="K17" s="4">
        <f t="shared" si="4"/>
        <v>0</v>
      </c>
      <c r="L17" s="14">
        <f t="shared" si="5"/>
        <v>1</v>
      </c>
      <c r="M17" s="5"/>
      <c r="N17" s="23" t="s">
        <v>23</v>
      </c>
      <c r="O17" s="23" t="s">
        <v>23</v>
      </c>
      <c r="P17" s="13" t="s">
        <v>23</v>
      </c>
      <c r="Q17" s="1" t="s">
        <v>23</v>
      </c>
      <c r="R17" s="5"/>
      <c r="S17" s="21" t="s">
        <v>34</v>
      </c>
      <c r="T17" s="26">
        <v>1</v>
      </c>
      <c r="U17" s="27">
        <v>1.0210060000000001</v>
      </c>
      <c r="V17" s="78">
        <f>IF(H17&gt;=1,2,0)</f>
        <v>2</v>
      </c>
      <c r="W17" s="78">
        <f>IF(E17&gt;U17,1,0)</f>
        <v>0</v>
      </c>
      <c r="X17" s="20">
        <f t="shared" si="0"/>
        <v>2</v>
      </c>
    </row>
    <row r="18" spans="1:24" ht="23.25" customHeight="1" x14ac:dyDescent="0.25">
      <c r="A18" s="1">
        <v>7</v>
      </c>
      <c r="B18" s="2" t="s">
        <v>35</v>
      </c>
      <c r="C18" s="32">
        <v>347</v>
      </c>
      <c r="D18" s="32">
        <v>1874</v>
      </c>
      <c r="E18" s="29">
        <f t="shared" si="1"/>
        <v>0.18516542155816434</v>
      </c>
      <c r="F18" s="30" t="s">
        <v>23</v>
      </c>
      <c r="G18" s="30">
        <f>IF(P18=0,0,E18/P18*100-100)</f>
        <v>1853.4951974386338</v>
      </c>
      <c r="H18" s="30" t="s">
        <v>23</v>
      </c>
      <c r="I18" s="38">
        <f t="shared" si="2"/>
        <v>2</v>
      </c>
      <c r="J18" s="24">
        <f t="shared" si="3"/>
        <v>0</v>
      </c>
      <c r="K18" s="4">
        <f t="shared" si="4"/>
        <v>1</v>
      </c>
      <c r="L18" s="14">
        <f t="shared" si="5"/>
        <v>1</v>
      </c>
      <c r="M18" s="5"/>
      <c r="N18" s="76">
        <v>2</v>
      </c>
      <c r="O18" s="76">
        <v>211</v>
      </c>
      <c r="P18" s="12">
        <f>IF(O18=0,0,N18/O18)</f>
        <v>9.4786729857819912E-3</v>
      </c>
      <c r="Q18" s="4"/>
      <c r="R18" s="5"/>
      <c r="S18" s="21" t="s">
        <v>36</v>
      </c>
      <c r="T18" s="26">
        <v>1</v>
      </c>
      <c r="U18" s="27">
        <v>0.18248900000000001</v>
      </c>
      <c r="V18" s="78">
        <f>IF(G18&lt;3,0,(IF(G18&gt;=7,2,1)))</f>
        <v>2</v>
      </c>
      <c r="W18" s="78">
        <f>IF(E18=1,2,(IF(E18&gt;U18,1,0)))</f>
        <v>1</v>
      </c>
      <c r="X18" s="20">
        <f t="shared" si="0"/>
        <v>2</v>
      </c>
    </row>
    <row r="19" spans="1:24" ht="23.25" customHeight="1" x14ac:dyDescent="0.25">
      <c r="A19" s="1">
        <v>8</v>
      </c>
      <c r="B19" s="2" t="s">
        <v>37</v>
      </c>
      <c r="C19" s="32">
        <v>333</v>
      </c>
      <c r="D19" s="32">
        <v>1874</v>
      </c>
      <c r="E19" s="29">
        <f t="shared" si="1"/>
        <v>0.17769477054429028</v>
      </c>
      <c r="F19" s="30" t="s">
        <v>23</v>
      </c>
      <c r="G19" s="30">
        <f>IF(P19=0,0,E19/P19*100-100)</f>
        <v>188.41228142188652</v>
      </c>
      <c r="H19" s="30" t="s">
        <v>23</v>
      </c>
      <c r="I19" s="38">
        <f t="shared" si="2"/>
        <v>0</v>
      </c>
      <c r="J19" s="24">
        <f>IF(AND(E19=0,D19&lt;&gt;0),1,0)</f>
        <v>0</v>
      </c>
      <c r="K19" s="4">
        <f>IF(E19&lt;U19,1,0)</f>
        <v>0</v>
      </c>
      <c r="L19" s="14">
        <f t="shared" si="5"/>
        <v>1</v>
      </c>
      <c r="M19" s="5"/>
      <c r="N19" s="76">
        <v>13</v>
      </c>
      <c r="O19" s="76">
        <v>211</v>
      </c>
      <c r="P19" s="12">
        <f>IF(O19=0,0,N19/O19)</f>
        <v>6.1611374407582936E-2</v>
      </c>
      <c r="Q19" s="4"/>
      <c r="R19" s="5"/>
      <c r="S19" s="21" t="s">
        <v>38</v>
      </c>
      <c r="T19" s="26">
        <v>1</v>
      </c>
      <c r="U19" s="27">
        <v>0.105306</v>
      </c>
      <c r="V19" s="78">
        <f>IF(G19&gt;-5,0,(IF(G19&lt;=-10,1,0.5)))</f>
        <v>0</v>
      </c>
      <c r="W19" s="78">
        <f>IF(E19=0,1,(IF(E19&lt;U19,0.5,0)))</f>
        <v>0</v>
      </c>
      <c r="X19" s="20">
        <f t="shared" si="0"/>
        <v>0</v>
      </c>
    </row>
    <row r="20" spans="1:24" ht="23.25" customHeight="1" x14ac:dyDescent="0.25">
      <c r="A20" s="1">
        <v>9</v>
      </c>
      <c r="B20" s="2" t="s">
        <v>39</v>
      </c>
      <c r="C20" s="32">
        <v>33</v>
      </c>
      <c r="D20" s="32">
        <v>553</v>
      </c>
      <c r="E20" s="29">
        <f t="shared" si="1"/>
        <v>5.9674502712477394E-2</v>
      </c>
      <c r="F20" s="29">
        <v>0.8</v>
      </c>
      <c r="G20" s="30" t="s">
        <v>23</v>
      </c>
      <c r="H20" s="29">
        <f>IF(F20=0,0,E20/F20)</f>
        <v>7.4593128390596744E-2</v>
      </c>
      <c r="I20" s="38">
        <f t="shared" si="2"/>
        <v>0</v>
      </c>
      <c r="J20" s="25" t="s">
        <v>23</v>
      </c>
      <c r="K20" s="4">
        <f>IF(E20&gt;U20,1,0)</f>
        <v>0</v>
      </c>
      <c r="L20" s="14">
        <f t="shared" si="5"/>
        <v>1</v>
      </c>
      <c r="M20" s="5"/>
      <c r="N20" s="23" t="s">
        <v>23</v>
      </c>
      <c r="O20" s="23" t="s">
        <v>23</v>
      </c>
      <c r="P20" s="13" t="s">
        <v>23</v>
      </c>
      <c r="Q20" s="1" t="s">
        <v>23</v>
      </c>
      <c r="R20" s="5"/>
      <c r="S20" s="21" t="s">
        <v>40</v>
      </c>
      <c r="T20" s="26">
        <v>1</v>
      </c>
      <c r="U20" s="27">
        <v>9.6269999999999994E-2</v>
      </c>
      <c r="V20" s="78">
        <f>IF(H20&gt;=1,1,0)</f>
        <v>0</v>
      </c>
      <c r="W20" s="78">
        <f>IF(E20&gt;U20,0.5,0)</f>
        <v>0</v>
      </c>
      <c r="X20" s="20">
        <f t="shared" si="0"/>
        <v>0</v>
      </c>
    </row>
    <row r="21" spans="1:24" ht="23.25" customHeight="1" x14ac:dyDescent="0.25">
      <c r="A21" s="1">
        <v>10</v>
      </c>
      <c r="B21" s="2" t="s">
        <v>41</v>
      </c>
      <c r="C21" s="32">
        <v>1</v>
      </c>
      <c r="D21" s="32">
        <v>18</v>
      </c>
      <c r="E21" s="29">
        <f t="shared" si="1"/>
        <v>5.5555555555555552E-2</v>
      </c>
      <c r="F21" s="29">
        <v>0.95</v>
      </c>
      <c r="G21" s="30" t="s">
        <v>23</v>
      </c>
      <c r="H21" s="29">
        <f>IF(F21=0,0,E21/F21)</f>
        <v>5.8479532163742687E-2</v>
      </c>
      <c r="I21" s="38">
        <f t="shared" si="2"/>
        <v>0</v>
      </c>
      <c r="J21" s="25" t="s">
        <v>23</v>
      </c>
      <c r="K21" s="4">
        <f>IF(E21&gt;U21,1,0)</f>
        <v>0</v>
      </c>
      <c r="L21" s="14">
        <f t="shared" si="5"/>
        <v>1</v>
      </c>
      <c r="M21" s="5"/>
      <c r="N21" s="23" t="s">
        <v>23</v>
      </c>
      <c r="O21" s="23" t="s">
        <v>23</v>
      </c>
      <c r="P21" s="13" t="s">
        <v>23</v>
      </c>
      <c r="Q21" s="1" t="s">
        <v>23</v>
      </c>
      <c r="R21" s="5"/>
      <c r="S21" s="21" t="s">
        <v>42</v>
      </c>
      <c r="T21" s="26">
        <v>1</v>
      </c>
      <c r="U21" s="27">
        <v>9.4241000000000005E-2</v>
      </c>
      <c r="V21" s="78">
        <f>IF(H21&gt;=1,1,0)</f>
        <v>0</v>
      </c>
      <c r="W21" s="78">
        <f>IF(E21&gt;U21,0.5,0)</f>
        <v>0</v>
      </c>
      <c r="X21" s="20">
        <f t="shared" si="0"/>
        <v>0</v>
      </c>
    </row>
    <row r="22" spans="1:24" ht="23.25" customHeight="1" x14ac:dyDescent="0.25">
      <c r="A22" s="1">
        <v>11</v>
      </c>
      <c r="B22" s="2" t="s">
        <v>43</v>
      </c>
      <c r="C22" s="32">
        <v>9</v>
      </c>
      <c r="D22" s="32">
        <v>168</v>
      </c>
      <c r="E22" s="29">
        <f t="shared" si="1"/>
        <v>5.3571428571428568E-2</v>
      </c>
      <c r="F22" s="29">
        <v>0.85</v>
      </c>
      <c r="G22" s="30" t="s">
        <v>23</v>
      </c>
      <c r="H22" s="29">
        <f>IF(F22=0,0,E22/F22)</f>
        <v>6.3025210084033612E-2</v>
      </c>
      <c r="I22" s="38">
        <f t="shared" si="2"/>
        <v>1</v>
      </c>
      <c r="J22" s="25" t="s">
        <v>23</v>
      </c>
      <c r="K22" s="4">
        <f>IF(E22&gt;U22,1,0)</f>
        <v>1</v>
      </c>
      <c r="L22" s="14">
        <f t="shared" si="5"/>
        <v>1</v>
      </c>
      <c r="M22" s="5"/>
      <c r="N22" s="23" t="s">
        <v>23</v>
      </c>
      <c r="O22" s="23" t="s">
        <v>23</v>
      </c>
      <c r="P22" s="13" t="s">
        <v>23</v>
      </c>
      <c r="Q22" s="1" t="s">
        <v>23</v>
      </c>
      <c r="R22" s="5"/>
      <c r="S22" s="21" t="s">
        <v>44</v>
      </c>
      <c r="T22" s="26">
        <v>1</v>
      </c>
      <c r="U22" s="27">
        <v>4.7871999999999998E-2</v>
      </c>
      <c r="V22" s="78">
        <f>IF(H22&gt;=1,2,0)</f>
        <v>0</v>
      </c>
      <c r="W22" s="78">
        <f>IF(E22&gt;U22,1,0)</f>
        <v>1</v>
      </c>
      <c r="X22" s="20">
        <f t="shared" si="0"/>
        <v>1</v>
      </c>
    </row>
    <row r="23" spans="1:24" ht="23.25" customHeight="1" x14ac:dyDescent="0.25">
      <c r="A23" s="1">
        <v>12</v>
      </c>
      <c r="B23" s="2" t="s">
        <v>45</v>
      </c>
      <c r="C23" s="32">
        <v>1735</v>
      </c>
      <c r="D23" s="32">
        <v>23340</v>
      </c>
      <c r="E23" s="29">
        <f t="shared" si="1"/>
        <v>7.4335904027420741E-2</v>
      </c>
      <c r="F23" s="30" t="s">
        <v>23</v>
      </c>
      <c r="G23" s="30">
        <f>IF(P23=0,0,E23/P23*100-100)</f>
        <v>8.9107431099420182</v>
      </c>
      <c r="H23" s="30" t="s">
        <v>23</v>
      </c>
      <c r="I23" s="38">
        <f t="shared" si="2"/>
        <v>0</v>
      </c>
      <c r="J23" s="24">
        <f>IF(AND(E23=0,D23&lt;&gt;0),1,0)</f>
        <v>0</v>
      </c>
      <c r="K23" s="4">
        <f>IF(E23&lt;U23,1,0)</f>
        <v>0</v>
      </c>
      <c r="L23" s="14">
        <f t="shared" si="5"/>
        <v>1</v>
      </c>
      <c r="M23" s="5"/>
      <c r="N23" s="76">
        <v>258</v>
      </c>
      <c r="O23" s="76">
        <v>3780</v>
      </c>
      <c r="P23" s="12">
        <f>IF(O23=0,0,N23/O23)</f>
        <v>6.8253968253968247E-2</v>
      </c>
      <c r="Q23" s="4"/>
      <c r="R23" s="5"/>
      <c r="S23" s="21" t="s">
        <v>46</v>
      </c>
      <c r="T23" s="26">
        <v>1</v>
      </c>
      <c r="U23" s="27">
        <v>3.8483999999999997E-2</v>
      </c>
      <c r="V23" s="78">
        <f>IF(G23&gt;-5,0,(IF(G23&lt;=-10,1,0.5)))</f>
        <v>0</v>
      </c>
      <c r="W23" s="78">
        <f>IF(E23=0,1,(IF(E23&lt;U23,0.5,0)))</f>
        <v>0</v>
      </c>
      <c r="X23" s="20">
        <f t="shared" si="0"/>
        <v>0</v>
      </c>
    </row>
    <row r="24" spans="1:24" ht="23.25" customHeight="1" x14ac:dyDescent="0.25">
      <c r="A24" s="1">
        <v>13</v>
      </c>
      <c r="B24" s="2" t="s">
        <v>47</v>
      </c>
      <c r="C24" s="32">
        <v>342</v>
      </c>
      <c r="D24" s="32">
        <v>1212</v>
      </c>
      <c r="E24" s="29">
        <f t="shared" si="1"/>
        <v>0.28217821782178215</v>
      </c>
      <c r="F24" s="30" t="s">
        <v>23</v>
      </c>
      <c r="G24" s="30">
        <f>IF(P24=0,0,E24/P24*100-100)</f>
        <v>13.112465092663101</v>
      </c>
      <c r="H24" s="30" t="s">
        <v>23</v>
      </c>
      <c r="I24" s="38">
        <f t="shared" si="2"/>
        <v>1</v>
      </c>
      <c r="J24" s="24">
        <f>IF(AND(E24=0,D24&lt;&gt;0),1,0)</f>
        <v>0</v>
      </c>
      <c r="K24" s="4">
        <f>IF(E24&lt;U24,1,0)</f>
        <v>1</v>
      </c>
      <c r="L24" s="14">
        <f t="shared" si="5"/>
        <v>1</v>
      </c>
      <c r="M24" s="5"/>
      <c r="N24" s="76">
        <v>117</v>
      </c>
      <c r="O24" s="76">
        <v>469</v>
      </c>
      <c r="P24" s="12">
        <f>IF(O24=0,0,N24/O24)</f>
        <v>0.24946695095948826</v>
      </c>
      <c r="Q24" s="4"/>
      <c r="R24" s="5"/>
      <c r="S24" s="21" t="s">
        <v>48</v>
      </c>
      <c r="T24" s="26">
        <v>1</v>
      </c>
      <c r="U24" s="27">
        <v>0.31700600000000001</v>
      </c>
      <c r="V24" s="78">
        <f>IF(G24&gt;-3,0,(IF(G24&lt;=-7,2,1)))</f>
        <v>0</v>
      </c>
      <c r="W24" s="78">
        <f>IF(E24=0,2,(IF(E24&lt;U24,1,0)))</f>
        <v>1</v>
      </c>
      <c r="X24" s="20">
        <f t="shared" si="0"/>
        <v>1</v>
      </c>
    </row>
    <row r="25" spans="1:24" ht="23.25" customHeight="1" x14ac:dyDescent="0.25">
      <c r="A25" s="1">
        <v>14</v>
      </c>
      <c r="B25" s="6" t="s">
        <v>49</v>
      </c>
      <c r="C25" s="32">
        <v>2266</v>
      </c>
      <c r="D25" s="32">
        <v>3179</v>
      </c>
      <c r="E25" s="29">
        <f t="shared" si="1"/>
        <v>0.71280276816609001</v>
      </c>
      <c r="F25" s="30" t="s">
        <v>23</v>
      </c>
      <c r="G25" s="30">
        <f>IF(P25=0,0,E25/P25*100-100)</f>
        <v>-14.400024715768652</v>
      </c>
      <c r="H25" s="30" t="s">
        <v>23</v>
      </c>
      <c r="I25" s="38">
        <f t="shared" si="2"/>
        <v>1</v>
      </c>
      <c r="J25" s="24">
        <f>IF(AND(E25=0,D25&lt;&gt;0),1,0)</f>
        <v>0</v>
      </c>
      <c r="K25" s="4">
        <f>IF(E25&lt;U25,1,0)</f>
        <v>0</v>
      </c>
      <c r="L25" s="14">
        <f t="shared" si="5"/>
        <v>1</v>
      </c>
      <c r="M25" s="5"/>
      <c r="N25" s="76">
        <v>448</v>
      </c>
      <c r="O25" s="76">
        <v>538</v>
      </c>
      <c r="P25" s="12">
        <f>IF(O25=0,0,N25/O25)</f>
        <v>0.83271375464684017</v>
      </c>
      <c r="Q25" s="4"/>
      <c r="R25" s="5"/>
      <c r="S25" s="21" t="s">
        <v>50</v>
      </c>
      <c r="T25" s="26">
        <v>1</v>
      </c>
      <c r="U25" s="27">
        <v>0.62723799999999996</v>
      </c>
      <c r="V25" s="78">
        <f>IF(G25&gt;-5,0,(IF(G25&lt;=-10,1,0.5)))</f>
        <v>1</v>
      </c>
      <c r="W25" s="78">
        <f>IF(E25=0,1,(IF(E25&lt;U25,0.5,0)))</f>
        <v>0</v>
      </c>
      <c r="X25" s="20">
        <f t="shared" si="0"/>
        <v>1</v>
      </c>
    </row>
    <row r="26" spans="1:24" ht="23.25" customHeight="1" x14ac:dyDescent="0.25">
      <c r="A26" s="15"/>
      <c r="B26" s="15"/>
      <c r="C26" s="50" t="s">
        <v>51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1"/>
      <c r="S26" s="21"/>
      <c r="T26" s="26">
        <v>1</v>
      </c>
      <c r="U26" s="28"/>
      <c r="V26" s="78">
        <f>SUM(V27:V32)</f>
        <v>7</v>
      </c>
      <c r="W26" s="78">
        <f>SUM(W27:W32)</f>
        <v>0.5</v>
      </c>
      <c r="X26" s="20">
        <f t="shared" si="0"/>
        <v>0</v>
      </c>
    </row>
    <row r="27" spans="1:24" ht="23.25" customHeight="1" x14ac:dyDescent="0.25">
      <c r="A27" s="1">
        <v>15</v>
      </c>
      <c r="B27" s="6" t="s">
        <v>52</v>
      </c>
      <c r="C27" s="35">
        <v>1164</v>
      </c>
      <c r="D27" s="33">
        <v>1053</v>
      </c>
      <c r="E27" s="29">
        <f>IF(D27=0,0,C27/D27)</f>
        <v>1.1054131054131053</v>
      </c>
      <c r="F27" s="29">
        <v>0.95</v>
      </c>
      <c r="G27" s="30" t="s">
        <v>23</v>
      </c>
      <c r="H27" s="29">
        <f>IF(F27=0,0,E27/F27)</f>
        <v>1.1635927425401109</v>
      </c>
      <c r="I27" s="39">
        <f t="shared" ref="I27:I32" si="6">IF(L27=1,X27,0)</f>
        <v>1</v>
      </c>
      <c r="J27" s="1" t="s">
        <v>23</v>
      </c>
      <c r="K27" s="4">
        <f t="shared" ref="K27:K32" si="7">IF(E27&gt;U27,1,0)</f>
        <v>1</v>
      </c>
      <c r="L27" s="14">
        <f t="shared" ref="L27:L32" si="8">IF(D27=0,2,1)</f>
        <v>1</v>
      </c>
      <c r="M27" s="5"/>
      <c r="N27" s="1" t="s">
        <v>23</v>
      </c>
      <c r="O27" s="1" t="s">
        <v>23</v>
      </c>
      <c r="P27" s="1" t="s">
        <v>23</v>
      </c>
      <c r="Q27" s="1" t="s">
        <v>23</v>
      </c>
      <c r="R27" s="5"/>
      <c r="S27" s="23" t="s">
        <v>77</v>
      </c>
      <c r="T27" s="26">
        <v>1</v>
      </c>
      <c r="U27" s="27">
        <v>0.97558900000000004</v>
      </c>
      <c r="V27" s="78">
        <f>IF(H27&gt;=1,1,0)</f>
        <v>1</v>
      </c>
      <c r="W27" s="78">
        <f>IF(E27&gt;U27,0.5,0)</f>
        <v>0.5</v>
      </c>
      <c r="X27" s="20">
        <f t="shared" si="0"/>
        <v>1</v>
      </c>
    </row>
    <row r="28" spans="1:24" ht="23.25" customHeight="1" x14ac:dyDescent="0.25">
      <c r="A28" s="1">
        <v>16</v>
      </c>
      <c r="B28" s="6" t="s">
        <v>53</v>
      </c>
      <c r="C28" s="35">
        <v>39</v>
      </c>
      <c r="D28" s="33">
        <v>37</v>
      </c>
      <c r="E28" s="29">
        <f>IF(D28=0,0,C28/D28)</f>
        <v>1.0540540540540539</v>
      </c>
      <c r="F28" s="29">
        <v>0.78</v>
      </c>
      <c r="G28" s="30" t="s">
        <v>23</v>
      </c>
      <c r="H28" s="29">
        <f>IF(F28=0,0,E28/F28)</f>
        <v>1.3513513513513511</v>
      </c>
      <c r="I28" s="38">
        <f t="shared" si="6"/>
        <v>1</v>
      </c>
      <c r="J28" s="1" t="s">
        <v>23</v>
      </c>
      <c r="K28" s="4">
        <f t="shared" si="7"/>
        <v>0</v>
      </c>
      <c r="L28" s="14">
        <f t="shared" si="8"/>
        <v>1</v>
      </c>
      <c r="M28" s="5"/>
      <c r="N28" s="1" t="s">
        <v>23</v>
      </c>
      <c r="O28" s="1" t="s">
        <v>23</v>
      </c>
      <c r="P28" s="1" t="s">
        <v>23</v>
      </c>
      <c r="Q28" s="1" t="s">
        <v>23</v>
      </c>
      <c r="R28" s="5"/>
      <c r="S28" s="23" t="s">
        <v>54</v>
      </c>
      <c r="T28" s="26">
        <v>1</v>
      </c>
      <c r="U28" s="27">
        <v>1.280259</v>
      </c>
      <c r="V28" s="78">
        <f>IF(H28&gt;=1,1,0)</f>
        <v>1</v>
      </c>
      <c r="W28" s="78">
        <f>IF(E28&gt;U28,0.5,0)</f>
        <v>0</v>
      </c>
      <c r="X28" s="20">
        <f t="shared" si="0"/>
        <v>1</v>
      </c>
    </row>
    <row r="29" spans="1:24" ht="23.25" customHeight="1" x14ac:dyDescent="0.25">
      <c r="A29" s="1">
        <v>17</v>
      </c>
      <c r="B29" s="6" t="s">
        <v>55</v>
      </c>
      <c r="C29" s="35">
        <v>59</v>
      </c>
      <c r="D29" s="33">
        <v>57</v>
      </c>
      <c r="E29" s="29">
        <f t="shared" ref="E29:E32" si="9">IF(D29=0,0,C29/D29)</f>
        <v>1.0350877192982457</v>
      </c>
      <c r="F29" s="29">
        <v>0.8</v>
      </c>
      <c r="G29" s="30" t="s">
        <v>23</v>
      </c>
      <c r="H29" s="29">
        <f t="shared" ref="H29:H31" si="10">IF(F29=0,0,E29/F29)</f>
        <v>1.2938596491228072</v>
      </c>
      <c r="I29" s="38">
        <f t="shared" si="6"/>
        <v>1</v>
      </c>
      <c r="J29" s="1" t="s">
        <v>23</v>
      </c>
      <c r="K29" s="4">
        <f t="shared" si="7"/>
        <v>0</v>
      </c>
      <c r="L29" s="14">
        <f t="shared" si="8"/>
        <v>1</v>
      </c>
      <c r="M29" s="5"/>
      <c r="N29" s="1" t="s">
        <v>23</v>
      </c>
      <c r="O29" s="1" t="s">
        <v>23</v>
      </c>
      <c r="P29" s="1" t="s">
        <v>23</v>
      </c>
      <c r="Q29" s="1" t="s">
        <v>23</v>
      </c>
      <c r="R29" s="5"/>
      <c r="S29" s="23" t="s">
        <v>56</v>
      </c>
      <c r="T29" s="26">
        <v>1</v>
      </c>
      <c r="U29" s="27">
        <v>1.252564</v>
      </c>
      <c r="V29" s="78">
        <f>IF(H29&gt;=1,1,0)</f>
        <v>1</v>
      </c>
      <c r="W29" s="78">
        <f>IF(E29&gt;U29,0.5,0)</f>
        <v>0</v>
      </c>
      <c r="X29" s="20">
        <f t="shared" si="0"/>
        <v>1</v>
      </c>
    </row>
    <row r="30" spans="1:24" ht="23.25" customHeight="1" x14ac:dyDescent="0.25">
      <c r="A30" s="1">
        <v>18</v>
      </c>
      <c r="B30" s="6" t="s">
        <v>57</v>
      </c>
      <c r="C30" s="35">
        <v>73</v>
      </c>
      <c r="D30" s="33">
        <v>73</v>
      </c>
      <c r="E30" s="29">
        <f t="shared" si="9"/>
        <v>1</v>
      </c>
      <c r="F30" s="29">
        <v>0.9</v>
      </c>
      <c r="G30" s="30" t="s">
        <v>23</v>
      </c>
      <c r="H30" s="29">
        <f t="shared" si="10"/>
        <v>1.1111111111111112</v>
      </c>
      <c r="I30" s="38">
        <f t="shared" si="6"/>
        <v>1</v>
      </c>
      <c r="J30" s="1" t="s">
        <v>23</v>
      </c>
      <c r="K30" s="4">
        <f t="shared" si="7"/>
        <v>0</v>
      </c>
      <c r="L30" s="14">
        <f t="shared" si="8"/>
        <v>1</v>
      </c>
      <c r="M30" s="5"/>
      <c r="N30" s="1" t="s">
        <v>23</v>
      </c>
      <c r="O30" s="1" t="s">
        <v>23</v>
      </c>
      <c r="P30" s="1" t="s">
        <v>23</v>
      </c>
      <c r="Q30" s="1" t="s">
        <v>23</v>
      </c>
      <c r="R30" s="5"/>
      <c r="S30" s="23" t="s">
        <v>58</v>
      </c>
      <c r="T30" s="26">
        <v>1</v>
      </c>
      <c r="U30" s="27">
        <v>1.133823</v>
      </c>
      <c r="V30" s="78">
        <f>IF(H30&gt;=1,1,0)</f>
        <v>1</v>
      </c>
      <c r="W30" s="78">
        <f>IF(E30&gt;U30,0.5,0)</f>
        <v>0</v>
      </c>
      <c r="X30" s="20">
        <f t="shared" si="0"/>
        <v>1</v>
      </c>
    </row>
    <row r="31" spans="1:24" ht="23.25" customHeight="1" x14ac:dyDescent="0.25">
      <c r="A31" s="1">
        <v>19</v>
      </c>
      <c r="B31" s="6" t="s">
        <v>59</v>
      </c>
      <c r="C31" s="35">
        <v>46</v>
      </c>
      <c r="D31" s="33">
        <v>46</v>
      </c>
      <c r="E31" s="29">
        <f t="shared" si="9"/>
        <v>1</v>
      </c>
      <c r="F31" s="29">
        <v>0.9</v>
      </c>
      <c r="G31" s="30" t="s">
        <v>23</v>
      </c>
      <c r="H31" s="29">
        <f t="shared" si="10"/>
        <v>1.1111111111111112</v>
      </c>
      <c r="I31" s="38">
        <f t="shared" si="6"/>
        <v>2</v>
      </c>
      <c r="J31" s="1" t="s">
        <v>23</v>
      </c>
      <c r="K31" s="4">
        <f t="shared" si="7"/>
        <v>0</v>
      </c>
      <c r="L31" s="14">
        <f t="shared" si="8"/>
        <v>1</v>
      </c>
      <c r="M31" s="5"/>
      <c r="N31" s="1" t="s">
        <v>23</v>
      </c>
      <c r="O31" s="1" t="s">
        <v>23</v>
      </c>
      <c r="P31" s="1" t="s">
        <v>23</v>
      </c>
      <c r="Q31" s="1" t="s">
        <v>23</v>
      </c>
      <c r="R31" s="5"/>
      <c r="S31" s="23" t="s">
        <v>60</v>
      </c>
      <c r="T31" s="26">
        <v>1</v>
      </c>
      <c r="U31" s="27">
        <v>1.15907</v>
      </c>
      <c r="V31" s="78">
        <f>IF(H31&gt;=1,2,0)</f>
        <v>2</v>
      </c>
      <c r="W31" s="78">
        <f>IF(E31&gt;U31,1,0)</f>
        <v>0</v>
      </c>
      <c r="X31" s="20">
        <f t="shared" si="0"/>
        <v>2</v>
      </c>
    </row>
    <row r="32" spans="1:24" ht="23.25" customHeight="1" x14ac:dyDescent="0.25">
      <c r="A32" s="1">
        <v>20</v>
      </c>
      <c r="B32" s="6" t="s">
        <v>61</v>
      </c>
      <c r="C32" s="35">
        <v>8</v>
      </c>
      <c r="D32" s="33">
        <v>8</v>
      </c>
      <c r="E32" s="29">
        <f t="shared" si="9"/>
        <v>1</v>
      </c>
      <c r="F32" s="29">
        <v>0.85</v>
      </c>
      <c r="G32" s="30" t="s">
        <v>23</v>
      </c>
      <c r="H32" s="29">
        <f>IF(F32=0,0,E32/F32)</f>
        <v>1.1764705882352942</v>
      </c>
      <c r="I32" s="38">
        <f t="shared" si="6"/>
        <v>1</v>
      </c>
      <c r="J32" s="1" t="s">
        <v>23</v>
      </c>
      <c r="K32" s="4">
        <f t="shared" si="7"/>
        <v>0</v>
      </c>
      <c r="L32" s="14">
        <f t="shared" si="8"/>
        <v>1</v>
      </c>
      <c r="M32" s="5"/>
      <c r="N32" s="1" t="s">
        <v>23</v>
      </c>
      <c r="O32" s="1" t="s">
        <v>23</v>
      </c>
      <c r="P32" s="1" t="s">
        <v>23</v>
      </c>
      <c r="Q32" s="1" t="s">
        <v>23</v>
      </c>
      <c r="R32" s="5"/>
      <c r="S32" s="23" t="s">
        <v>62</v>
      </c>
      <c r="T32" s="26">
        <v>1</v>
      </c>
      <c r="U32" s="27">
        <v>1.1108070000000001</v>
      </c>
      <c r="V32" s="78">
        <f>IF(H32&gt;=1,1,0)</f>
        <v>1</v>
      </c>
      <c r="W32" s="78">
        <f>IF(E32&gt;U32,0.5,0)</f>
        <v>0</v>
      </c>
      <c r="X32" s="20">
        <f t="shared" si="0"/>
        <v>1</v>
      </c>
    </row>
    <row r="33" spans="1:24" ht="23.25" customHeight="1" x14ac:dyDescent="0.25">
      <c r="A33" s="15"/>
      <c r="B33" s="15"/>
      <c r="C33" s="50" t="s">
        <v>63</v>
      </c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1"/>
      <c r="S33" s="21"/>
      <c r="T33" s="26">
        <v>1</v>
      </c>
      <c r="U33" s="28"/>
      <c r="V33" s="78">
        <f>SUM(V34:V38)</f>
        <v>2</v>
      </c>
      <c r="W33" s="78">
        <f>SUM(W34:W38)</f>
        <v>0.5</v>
      </c>
      <c r="X33" s="20">
        <f t="shared" si="0"/>
        <v>0</v>
      </c>
    </row>
    <row r="34" spans="1:24" ht="23.25" customHeight="1" x14ac:dyDescent="0.25">
      <c r="A34" s="1">
        <v>21</v>
      </c>
      <c r="B34" s="2" t="s">
        <v>64</v>
      </c>
      <c r="C34" s="34">
        <v>116</v>
      </c>
      <c r="D34" s="33">
        <v>752</v>
      </c>
      <c r="E34" s="29">
        <f>IF(D34=0,0,C34/D34)</f>
        <v>0.15425531914893617</v>
      </c>
      <c r="F34" s="30" t="s">
        <v>23</v>
      </c>
      <c r="G34" s="30">
        <f>IF(P34=0,0,E34/P34*100-100)</f>
        <v>-48.131648936170215</v>
      </c>
      <c r="H34" s="30" t="s">
        <v>23</v>
      </c>
      <c r="I34" s="40">
        <f>IF(L34=1,X34,0)</f>
        <v>0.5</v>
      </c>
      <c r="J34" s="4">
        <f>IF(E34=1,1,0)</f>
        <v>0</v>
      </c>
      <c r="K34" s="4">
        <f>IF(E34&gt;U34,1,0)</f>
        <v>1</v>
      </c>
      <c r="L34" s="14">
        <f>IF(D34=0,2,1)</f>
        <v>1</v>
      </c>
      <c r="M34" s="5"/>
      <c r="N34" s="80">
        <v>320</v>
      </c>
      <c r="O34" s="81">
        <v>1076</v>
      </c>
      <c r="P34" s="29">
        <f>IF(O34=0,0,N34/O34)</f>
        <v>0.29739776951672864</v>
      </c>
      <c r="Q34" s="4"/>
      <c r="R34" s="5"/>
      <c r="S34" s="21" t="s">
        <v>78</v>
      </c>
      <c r="T34" s="26">
        <v>1</v>
      </c>
      <c r="U34" s="27">
        <v>0.120681</v>
      </c>
      <c r="V34" s="78">
        <f>IF(G34&lt;5,0,(IF(G34&gt;=10,1,0.5)))</f>
        <v>0</v>
      </c>
      <c r="W34" s="78">
        <f>IF(E34=1,1,(IF(E34&gt;U34,0.5,0)))</f>
        <v>0.5</v>
      </c>
      <c r="X34" s="20">
        <f t="shared" si="0"/>
        <v>0.5</v>
      </c>
    </row>
    <row r="35" spans="1:24" ht="23.25" customHeight="1" x14ac:dyDescent="0.25">
      <c r="A35" s="1">
        <v>22</v>
      </c>
      <c r="B35" s="2" t="s">
        <v>65</v>
      </c>
      <c r="C35" s="34">
        <v>324</v>
      </c>
      <c r="D35" s="33">
        <v>1018</v>
      </c>
      <c r="E35" s="29">
        <f>IF(D35=0,0,C35/D35)</f>
        <v>0.31827111984282908</v>
      </c>
      <c r="F35" s="29">
        <v>0.45</v>
      </c>
      <c r="G35" s="30" t="s">
        <v>23</v>
      </c>
      <c r="H35" s="30">
        <f>IF(F35=0,0,E35/F35)</f>
        <v>0.70726915520628686</v>
      </c>
      <c r="I35" s="41">
        <f>IF(L35=1,X35,0)</f>
        <v>0</v>
      </c>
      <c r="J35" s="1" t="s">
        <v>23</v>
      </c>
      <c r="K35" s="4">
        <f>IF(E35&gt;U35,1,0)</f>
        <v>0</v>
      </c>
      <c r="L35" s="14">
        <f>IF(D35=0,2,1)</f>
        <v>1</v>
      </c>
      <c r="M35" s="5"/>
      <c r="N35" s="23" t="s">
        <v>23</v>
      </c>
      <c r="O35" s="23" t="s">
        <v>23</v>
      </c>
      <c r="P35" s="30" t="s">
        <v>23</v>
      </c>
      <c r="Q35" s="1" t="s">
        <v>23</v>
      </c>
      <c r="R35" s="5"/>
      <c r="S35" s="21" t="s">
        <v>79</v>
      </c>
      <c r="T35" s="26">
        <v>1</v>
      </c>
      <c r="U35" s="27">
        <v>0.43128699999999998</v>
      </c>
      <c r="V35" s="78">
        <f>IF(H35&gt;=1,1,0)</f>
        <v>0</v>
      </c>
      <c r="W35" s="78">
        <f>IF(E35&gt;U35,0.5,0)</f>
        <v>0</v>
      </c>
      <c r="X35" s="20">
        <f t="shared" si="0"/>
        <v>0</v>
      </c>
    </row>
    <row r="36" spans="1:24" ht="23.25" customHeight="1" x14ac:dyDescent="0.25">
      <c r="A36" s="1">
        <v>23</v>
      </c>
      <c r="B36" s="2" t="s">
        <v>66</v>
      </c>
      <c r="C36" s="32">
        <v>0</v>
      </c>
      <c r="D36" s="32">
        <v>55</v>
      </c>
      <c r="E36" s="29">
        <f>IF(D36=0,0,C36/D36)</f>
        <v>0</v>
      </c>
      <c r="F36" s="30" t="s">
        <v>23</v>
      </c>
      <c r="G36" s="30">
        <f>IF(P36=0,0,E36/P36*100-100)</f>
        <v>0</v>
      </c>
      <c r="H36" s="30" t="s">
        <v>23</v>
      </c>
      <c r="I36" s="38">
        <f>IF(L36=1,X36,0)</f>
        <v>0</v>
      </c>
      <c r="J36" s="4">
        <f>IF(E36=1,1,0)</f>
        <v>0</v>
      </c>
      <c r="K36" s="4">
        <f>IF(E36&gt;U36,1,0)</f>
        <v>0</v>
      </c>
      <c r="L36" s="14">
        <f>IF(D36=0,2,1)</f>
        <v>1</v>
      </c>
      <c r="M36" s="5"/>
      <c r="N36" s="76">
        <v>0</v>
      </c>
      <c r="O36" s="76">
        <v>1</v>
      </c>
      <c r="P36" s="29">
        <f>IF(O36=0,0,N36/O36*2.9)</f>
        <v>0</v>
      </c>
      <c r="Q36" s="4"/>
      <c r="R36" s="5"/>
      <c r="S36" s="21" t="s">
        <v>67</v>
      </c>
      <c r="T36" s="26">
        <v>1</v>
      </c>
      <c r="U36" s="27">
        <v>0</v>
      </c>
      <c r="V36" s="78">
        <f>IF(G36&lt;5,0,(IF(G36&gt;=10,1,0.5)))</f>
        <v>0</v>
      </c>
      <c r="W36" s="78">
        <f>IF(E36=1,1,(IF(E36&gt;U36,0.5,0)))</f>
        <v>0</v>
      </c>
      <c r="X36" s="20">
        <f t="shared" si="0"/>
        <v>0</v>
      </c>
    </row>
    <row r="37" spans="1:24" ht="23.25" customHeight="1" x14ac:dyDescent="0.25">
      <c r="A37" s="1">
        <v>24</v>
      </c>
      <c r="B37" s="2" t="s">
        <v>68</v>
      </c>
      <c r="C37" s="32">
        <v>0</v>
      </c>
      <c r="D37" s="32">
        <v>217</v>
      </c>
      <c r="E37" s="29">
        <f>IF(D37=0,0,C37/D37)</f>
        <v>0</v>
      </c>
      <c r="F37" s="30" t="s">
        <v>23</v>
      </c>
      <c r="G37" s="30">
        <f>IF(P37=0,0,E37/P37*100-100)</f>
        <v>0</v>
      </c>
      <c r="H37" s="30" t="s">
        <v>23</v>
      </c>
      <c r="I37" s="38">
        <f>IF(L37=1,X37,0)</f>
        <v>0</v>
      </c>
      <c r="J37" s="4">
        <f>IF(E37=1,1,0)</f>
        <v>0</v>
      </c>
      <c r="K37" s="4">
        <f>IF(E37&gt;U37,1,0)</f>
        <v>0</v>
      </c>
      <c r="L37" s="14">
        <f>IF(D37=0,2,1)</f>
        <v>1</v>
      </c>
      <c r="M37" s="5"/>
      <c r="N37" s="76">
        <v>0</v>
      </c>
      <c r="O37" s="76">
        <v>1</v>
      </c>
      <c r="P37" s="29">
        <f>IF(O37=0,0,N37/O37*2.9)</f>
        <v>0</v>
      </c>
      <c r="Q37" s="4"/>
      <c r="R37" s="5"/>
      <c r="S37" s="21" t="s">
        <v>69</v>
      </c>
      <c r="T37" s="26">
        <v>1</v>
      </c>
      <c r="U37" s="27">
        <v>4.64E-4</v>
      </c>
      <c r="V37" s="78">
        <f>IF(G37&lt;5,0,(IF(G37&gt;=10,1,0.5)))</f>
        <v>0</v>
      </c>
      <c r="W37" s="78">
        <f>IF(E37=1,1,(IF(E37&gt;U37,0.5,0)))</f>
        <v>0</v>
      </c>
      <c r="X37" s="20">
        <f t="shared" si="0"/>
        <v>0</v>
      </c>
    </row>
    <row r="38" spans="1:24" ht="23.25" customHeight="1" x14ac:dyDescent="0.25">
      <c r="A38" s="1">
        <v>25</v>
      </c>
      <c r="B38" s="2" t="s">
        <v>70</v>
      </c>
      <c r="C38" s="34">
        <v>1214</v>
      </c>
      <c r="D38" s="36">
        <v>1356</v>
      </c>
      <c r="E38" s="29">
        <f>IF(D38=0,0,C38/D38)</f>
        <v>0.89528023598820061</v>
      </c>
      <c r="F38" s="29">
        <v>0.88</v>
      </c>
      <c r="G38" s="30" t="s">
        <v>23</v>
      </c>
      <c r="H38" s="30">
        <f>IF(F38=0,0,E38/F38)</f>
        <v>1.0173639045320462</v>
      </c>
      <c r="I38" s="41">
        <f>IF(L38=1,X38,0)</f>
        <v>2</v>
      </c>
      <c r="J38" s="1" t="s">
        <v>23</v>
      </c>
      <c r="K38" s="4">
        <f>IF(E38&gt;U38,1,0)</f>
        <v>0</v>
      </c>
      <c r="L38" s="14">
        <f>IF(D38=0,2,1)</f>
        <v>1</v>
      </c>
      <c r="M38" s="5"/>
      <c r="N38" s="1" t="s">
        <v>23</v>
      </c>
      <c r="O38" s="1" t="s">
        <v>23</v>
      </c>
      <c r="P38" s="30" t="s">
        <v>23</v>
      </c>
      <c r="Q38" s="1" t="s">
        <v>23</v>
      </c>
      <c r="R38" s="22"/>
      <c r="S38" s="21" t="s">
        <v>80</v>
      </c>
      <c r="T38" s="26">
        <v>1</v>
      </c>
      <c r="U38" s="27">
        <v>0.92156899999999997</v>
      </c>
      <c r="V38" s="78">
        <f>IF(H38&gt;=1,2,0)</f>
        <v>2</v>
      </c>
      <c r="W38" s="78">
        <f>IF(E38&gt;U38,1,0)</f>
        <v>0</v>
      </c>
      <c r="X38" s="20">
        <f t="shared" si="0"/>
        <v>2</v>
      </c>
    </row>
    <row r="39" spans="1:24" ht="23.25" customHeight="1" x14ac:dyDescent="0.25">
      <c r="A39" s="7"/>
      <c r="B39" s="8"/>
      <c r="C39" s="50" t="s">
        <v>71</v>
      </c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1"/>
      <c r="X39" s="16"/>
    </row>
    <row r="40" spans="1:24" ht="23.25" customHeight="1" x14ac:dyDescent="0.25">
      <c r="A40" s="1">
        <v>26</v>
      </c>
      <c r="B40" s="2" t="s">
        <v>72</v>
      </c>
      <c r="C40" s="3"/>
      <c r="D40" s="34"/>
      <c r="E40" s="4"/>
      <c r="F40" s="4"/>
      <c r="G40" s="1"/>
      <c r="H40" s="1"/>
      <c r="I40" s="41"/>
      <c r="J40" s="4"/>
      <c r="K40" s="4"/>
      <c r="L40" s="4"/>
      <c r="M40" s="5"/>
      <c r="N40" s="3"/>
      <c r="O40" s="4"/>
      <c r="P40" s="4"/>
      <c r="Q40" s="4"/>
      <c r="R40" s="5"/>
      <c r="X40" s="16"/>
    </row>
    <row r="41" spans="1:24" x14ac:dyDescent="0.25">
      <c r="I41" s="42">
        <f>SUM(I12:I25,I27:I32,I34:I38)</f>
        <v>20.5</v>
      </c>
    </row>
  </sheetData>
  <mergeCells count="27">
    <mergeCell ref="C39:R39"/>
    <mergeCell ref="A4:A9"/>
    <mergeCell ref="B4:B9"/>
    <mergeCell ref="C11:R11"/>
    <mergeCell ref="C26:R26"/>
    <mergeCell ref="C33:R33"/>
    <mergeCell ref="K5:K7"/>
    <mergeCell ref="H5:H7"/>
    <mergeCell ref="O5:O7"/>
    <mergeCell ref="P5:P7"/>
    <mergeCell ref="C8:R8"/>
    <mergeCell ref="A2:R2"/>
    <mergeCell ref="A3:R3"/>
    <mergeCell ref="C4:M4"/>
    <mergeCell ref="N4:R4"/>
    <mergeCell ref="L5:L7"/>
    <mergeCell ref="M5:M7"/>
    <mergeCell ref="N5:N7"/>
    <mergeCell ref="C5:C7"/>
    <mergeCell ref="D5:D7"/>
    <mergeCell ref="E5:E7"/>
    <mergeCell ref="R5:R7"/>
    <mergeCell ref="G5:G7"/>
    <mergeCell ref="I5:I7"/>
    <mergeCell ref="Q5:Q7"/>
    <mergeCell ref="F5:F7"/>
    <mergeCell ref="J5:J7"/>
  </mergeCells>
  <pageMargins left="0" right="0" top="0" bottom="0" header="0" footer="0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Костромина Е.В.</cp:lastModifiedBy>
  <cp:lastPrinted>2024-01-10T09:48:34Z</cp:lastPrinted>
  <dcterms:created xsi:type="dcterms:W3CDTF">2023-06-02T12:02:42Z</dcterms:created>
  <dcterms:modified xsi:type="dcterms:W3CDTF">2024-01-10T09:49:07Z</dcterms:modified>
  <cp:category/>
  <cp:contentStatus/>
</cp:coreProperties>
</file>